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elle\Desktop\rbt-16Oct2022\Budget\2024 Budget\VPAS\"/>
    </mc:Choice>
  </mc:AlternateContent>
  <bookViews>
    <workbookView xWindow="0" yWindow="0" windowWidth="19395" windowHeight="10995" firstSheet="2" activeTab="2"/>
  </bookViews>
  <sheets>
    <sheet name="1.Directions" sheetId="4" r:id="rId1"/>
    <sheet name="2.Performance_Items" sheetId="1" r:id="rId2"/>
    <sheet name="rev_exp" sheetId="12" r:id="rId3"/>
    <sheet name="3.Pay Level" sheetId="9" r:id="rId4"/>
    <sheet name="4.Fringe_Benefits" sheetId="7" r:id="rId5"/>
    <sheet name="5.Budget_Items" sheetId="2" r:id="rId6"/>
    <sheet name="Activity Cost" sheetId="5" r:id="rId7"/>
    <sheet name="Pay Levels" sheetId="8" state="hidden" r:id="rId8"/>
    <sheet name="line item" sheetId="10" r:id="rId9"/>
    <sheet name="Summary" sheetId="11" r:id="rId10"/>
  </sheets>
  <externalReferences>
    <externalReference r:id="rId11"/>
    <externalReference r:id="rId12"/>
  </externalReferences>
  <definedNames>
    <definedName name="_xlnm.Print_Area" localSheetId="1">'2.Performance_Items'!$A$1:$M$21</definedName>
  </definedNames>
  <calcPr calcId="152511"/>
</workbook>
</file>

<file path=xl/calcChain.xml><?xml version="1.0" encoding="utf-8"?>
<calcChain xmlns="http://schemas.openxmlformats.org/spreadsheetml/2006/main">
  <c r="G33" i="12" l="1"/>
  <c r="E26" i="12" l="1"/>
  <c r="E25" i="12"/>
  <c r="E22" i="12"/>
  <c r="E21" i="12"/>
  <c r="E20" i="12"/>
  <c r="E19" i="12"/>
  <c r="E18" i="12"/>
  <c r="E17" i="12"/>
  <c r="E16" i="12"/>
  <c r="E15" i="12"/>
  <c r="E14" i="12"/>
  <c r="E13" i="12"/>
  <c r="E9" i="12"/>
  <c r="E8" i="12"/>
  <c r="E27" i="12" l="1"/>
  <c r="E10" i="12"/>
  <c r="E29" i="12" l="1"/>
  <c r="A10" i="2" l="1"/>
  <c r="F13" i="10" l="1"/>
  <c r="F14" i="10"/>
  <c r="G25" i="12"/>
  <c r="J4" i="9"/>
  <c r="H33" i="12" l="1"/>
  <c r="G22" i="12"/>
  <c r="G20" i="12"/>
  <c r="G18" i="12"/>
  <c r="A11" i="2" l="1"/>
  <c r="A9" i="2"/>
  <c r="A8" i="2"/>
  <c r="A7" i="2"/>
  <c r="A6" i="2"/>
  <c r="A5" i="2"/>
  <c r="A4" i="2"/>
  <c r="O10" i="9" l="1"/>
  <c r="O9" i="9"/>
  <c r="O8" i="9"/>
  <c r="O7" i="9"/>
  <c r="O6" i="9"/>
  <c r="O5" i="9"/>
  <c r="P10" i="9"/>
  <c r="P9" i="9"/>
  <c r="P8" i="9"/>
  <c r="P7" i="9"/>
  <c r="O3" i="9"/>
  <c r="G46" i="12" l="1"/>
  <c r="G38" i="12"/>
  <c r="F22" i="10"/>
  <c r="H42" i="12"/>
  <c r="H46" i="12"/>
  <c r="G42" i="12"/>
  <c r="G51" i="12"/>
  <c r="G8" i="12" s="1"/>
  <c r="H51" i="12"/>
  <c r="G9" i="12" s="1"/>
  <c r="H38" i="12"/>
  <c r="G53" i="12"/>
  <c r="G54" i="12"/>
  <c r="G55" i="12"/>
  <c r="P42" i="2"/>
  <c r="L42" i="2"/>
  <c r="L43" i="2" s="1"/>
  <c r="G8" i="5" s="1"/>
  <c r="J42" i="2"/>
  <c r="J43" i="2" s="1"/>
  <c r="G7" i="5" s="1"/>
  <c r="P3" i="9"/>
  <c r="O4" i="9"/>
  <c r="P4" i="9"/>
  <c r="J5" i="9"/>
  <c r="Q7" i="9"/>
  <c r="Q8" i="9"/>
  <c r="Q10" i="9"/>
  <c r="W4" i="2"/>
  <c r="W5" i="2"/>
  <c r="W6" i="2"/>
  <c r="W7" i="2"/>
  <c r="W8" i="2"/>
  <c r="W9" i="2"/>
  <c r="W10" i="2"/>
  <c r="W11" i="2"/>
  <c r="W12" i="2"/>
  <c r="U12" i="2"/>
  <c r="S12" i="2"/>
  <c r="Q12" i="2"/>
  <c r="O12" i="2"/>
  <c r="M12" i="2"/>
  <c r="K12" i="2"/>
  <c r="I12" i="2"/>
  <c r="G12" i="2"/>
  <c r="E12" i="2"/>
  <c r="B4" i="2"/>
  <c r="B5" i="2"/>
  <c r="B6" i="2"/>
  <c r="B7" i="2"/>
  <c r="B8" i="2"/>
  <c r="B9" i="2"/>
  <c r="B10" i="2"/>
  <c r="B11" i="2"/>
  <c r="A9" i="7"/>
  <c r="A6" i="7"/>
  <c r="A5" i="7"/>
  <c r="E10" i="7"/>
  <c r="F8" i="10" s="1"/>
  <c r="G15" i="12" s="1"/>
  <c r="D10" i="7"/>
  <c r="F11" i="9"/>
  <c r="A7" i="7"/>
  <c r="I18" i="12"/>
  <c r="A4" i="7"/>
  <c r="A3" i="7"/>
  <c r="A2" i="7"/>
  <c r="I26" i="12"/>
  <c r="I25" i="12"/>
  <c r="G24" i="12"/>
  <c r="I24" i="12" s="1"/>
  <c r="G23" i="12"/>
  <c r="I23" i="12"/>
  <c r="I22" i="12"/>
  <c r="B35" i="2"/>
  <c r="F35" i="2" s="1"/>
  <c r="I20" i="12"/>
  <c r="F34" i="2"/>
  <c r="X34" i="2" s="1"/>
  <c r="F32" i="2"/>
  <c r="F33" i="2"/>
  <c r="X33" i="2" s="1"/>
  <c r="F36" i="2"/>
  <c r="F19" i="2"/>
  <c r="F17" i="2"/>
  <c r="F18" i="2"/>
  <c r="H34" i="2"/>
  <c r="H19" i="2"/>
  <c r="H17" i="2"/>
  <c r="H18" i="2"/>
  <c r="J34" i="2"/>
  <c r="J32" i="2"/>
  <c r="J33" i="2"/>
  <c r="J36" i="2"/>
  <c r="J19" i="2"/>
  <c r="X19" i="2" s="1"/>
  <c r="J17" i="2"/>
  <c r="J18" i="2"/>
  <c r="L34" i="2"/>
  <c r="L32" i="2"/>
  <c r="L33" i="2"/>
  <c r="L36" i="2"/>
  <c r="L19" i="2"/>
  <c r="L17" i="2"/>
  <c r="L18" i="2"/>
  <c r="N34" i="2"/>
  <c r="N32" i="2"/>
  <c r="N33" i="2"/>
  <c r="N36" i="2"/>
  <c r="N19" i="2"/>
  <c r="N17" i="2"/>
  <c r="N18" i="2"/>
  <c r="P34" i="2"/>
  <c r="P35" i="2"/>
  <c r="P32" i="2"/>
  <c r="P33" i="2"/>
  <c r="P36" i="2"/>
  <c r="P19" i="2"/>
  <c r="P17" i="2"/>
  <c r="P20" i="2" s="1"/>
  <c r="D10" i="5" s="1"/>
  <c r="P18" i="2"/>
  <c r="R34" i="2"/>
  <c r="R32" i="2"/>
  <c r="R33" i="2"/>
  <c r="R36" i="2"/>
  <c r="R19" i="2"/>
  <c r="R17" i="2"/>
  <c r="R18" i="2"/>
  <c r="R20" i="2" s="1"/>
  <c r="D11" i="5" s="1"/>
  <c r="T34" i="2"/>
  <c r="T32" i="2"/>
  <c r="T33" i="2"/>
  <c r="T36" i="2"/>
  <c r="T19" i="2"/>
  <c r="T17" i="2"/>
  <c r="T18" i="2"/>
  <c r="V34" i="2"/>
  <c r="V35" i="2"/>
  <c r="V32" i="2"/>
  <c r="V33" i="2"/>
  <c r="V36" i="2"/>
  <c r="V19" i="2"/>
  <c r="V17" i="2"/>
  <c r="V20" i="2" s="1"/>
  <c r="D13" i="5" s="1"/>
  <c r="V18" i="2"/>
  <c r="B43" i="2"/>
  <c r="B20" i="2"/>
  <c r="H25" i="2"/>
  <c r="H26" i="2"/>
  <c r="H27" i="2"/>
  <c r="E6" i="5"/>
  <c r="F42" i="2"/>
  <c r="F43" i="2"/>
  <c r="G5" i="5"/>
  <c r="H42" i="2"/>
  <c r="H43" i="2"/>
  <c r="G6" i="5"/>
  <c r="N42" i="2"/>
  <c r="N43" i="2"/>
  <c r="G9" i="5"/>
  <c r="R42" i="2"/>
  <c r="R43" i="2"/>
  <c r="G11" i="5"/>
  <c r="T42" i="2"/>
  <c r="T43" i="2"/>
  <c r="G12" i="5"/>
  <c r="V42" i="2"/>
  <c r="V43" i="2"/>
  <c r="G13" i="5"/>
  <c r="W42" i="2"/>
  <c r="H36" i="2"/>
  <c r="X36" i="2"/>
  <c r="W36" i="2"/>
  <c r="W35" i="2"/>
  <c r="W34" i="2"/>
  <c r="H33" i="2"/>
  <c r="W33" i="2"/>
  <c r="H32" i="2"/>
  <c r="X32" i="2"/>
  <c r="W32" i="2"/>
  <c r="F26" i="2"/>
  <c r="J26" i="2"/>
  <c r="N26" i="2"/>
  <c r="P26" i="2"/>
  <c r="R26" i="2"/>
  <c r="T26" i="2"/>
  <c r="V26" i="2"/>
  <c r="X26" i="2"/>
  <c r="W26" i="2"/>
  <c r="W25" i="2"/>
  <c r="G20" i="2"/>
  <c r="I20" i="2"/>
  <c r="K20" i="2"/>
  <c r="M20" i="2"/>
  <c r="O20" i="2"/>
  <c r="Q20" i="2"/>
  <c r="S20" i="2"/>
  <c r="U20" i="2"/>
  <c r="W20" i="2"/>
  <c r="W19" i="2"/>
  <c r="W18" i="2"/>
  <c r="W17" i="2"/>
  <c r="F20" i="10"/>
  <c r="F18" i="10"/>
  <c r="G19" i="12" s="1"/>
  <c r="I19" i="12" s="1"/>
  <c r="F17" i="10"/>
  <c r="F16" i="10"/>
  <c r="B5" i="5"/>
  <c r="B6" i="5"/>
  <c r="B7" i="5"/>
  <c r="B8" i="5"/>
  <c r="B9" i="5"/>
  <c r="B10" i="5"/>
  <c r="B11" i="5"/>
  <c r="B12" i="5"/>
  <c r="B13" i="5"/>
  <c r="F11" i="10"/>
  <c r="V25" i="2"/>
  <c r="V27" i="2"/>
  <c r="E13" i="5"/>
  <c r="N25" i="2"/>
  <c r="N27" i="2"/>
  <c r="E9" i="5"/>
  <c r="F25" i="2"/>
  <c r="T25" i="2"/>
  <c r="T27" i="2"/>
  <c r="E12" i="5"/>
  <c r="L25" i="2"/>
  <c r="L27" i="2"/>
  <c r="E8" i="5"/>
  <c r="R25" i="2"/>
  <c r="R27" i="2"/>
  <c r="E11" i="5"/>
  <c r="J25" i="2"/>
  <c r="J27" i="2"/>
  <c r="E7" i="5"/>
  <c r="B27" i="2"/>
  <c r="P25" i="2"/>
  <c r="P27" i="2"/>
  <c r="E10" i="5"/>
  <c r="X25" i="2"/>
  <c r="X27" i="2"/>
  <c r="F27" i="2"/>
  <c r="E5" i="5"/>
  <c r="E14" i="5"/>
  <c r="L20" i="2" l="1"/>
  <c r="D8" i="5" s="1"/>
  <c r="X18" i="2"/>
  <c r="N20" i="2"/>
  <c r="D9" i="5" s="1"/>
  <c r="H20" i="2"/>
  <c r="D6" i="5" s="1"/>
  <c r="T20" i="2"/>
  <c r="D12" i="5" s="1"/>
  <c r="F20" i="2"/>
  <c r="D5" i="5" s="1"/>
  <c r="J20" i="2"/>
  <c r="D7" i="5" s="1"/>
  <c r="X17" i="2"/>
  <c r="X42" i="2"/>
  <c r="X43" i="2" s="1"/>
  <c r="P43" i="2"/>
  <c r="G10" i="5" s="1"/>
  <c r="G14" i="5" s="1"/>
  <c r="J6" i="9"/>
  <c r="P6" i="9" s="1"/>
  <c r="P11" i="9" s="1"/>
  <c r="P5" i="9"/>
  <c r="Q5" i="9" s="1"/>
  <c r="R5" i="9" s="1"/>
  <c r="C11" i="2"/>
  <c r="F9" i="7"/>
  <c r="C9" i="7"/>
  <c r="F19" i="10"/>
  <c r="G21" i="12" s="1"/>
  <c r="I21" i="12" s="1"/>
  <c r="T35" i="2"/>
  <c r="T37" i="2" s="1"/>
  <c r="F12" i="5" s="1"/>
  <c r="R35" i="2"/>
  <c r="R37" i="2" s="1"/>
  <c r="F11" i="5" s="1"/>
  <c r="P37" i="2"/>
  <c r="F10" i="5" s="1"/>
  <c r="V37" i="2"/>
  <c r="F13" i="5" s="1"/>
  <c r="L35" i="2"/>
  <c r="L37" i="2" s="1"/>
  <c r="F8" i="5" s="1"/>
  <c r="H35" i="2"/>
  <c r="H37" i="2" s="1"/>
  <c r="F6" i="5" s="1"/>
  <c r="I15" i="12"/>
  <c r="R10" i="9"/>
  <c r="B9" i="7"/>
  <c r="G9" i="7" s="1"/>
  <c r="D11" i="2" s="1"/>
  <c r="F7" i="7"/>
  <c r="R8" i="9"/>
  <c r="B7" i="7"/>
  <c r="C6" i="7"/>
  <c r="R7" i="9"/>
  <c r="B6" i="7"/>
  <c r="C8" i="2"/>
  <c r="B4" i="7"/>
  <c r="G4" i="7" s="1"/>
  <c r="Q4" i="9"/>
  <c r="B12" i="2"/>
  <c r="F37" i="2"/>
  <c r="F5" i="5" s="1"/>
  <c r="N35" i="2"/>
  <c r="N37" i="2" s="1"/>
  <c r="F9" i="5" s="1"/>
  <c r="J35" i="2"/>
  <c r="J37" i="2" s="1"/>
  <c r="F7" i="5" s="1"/>
  <c r="B37" i="2"/>
  <c r="Q9" i="9"/>
  <c r="C10" i="2" s="1"/>
  <c r="C9" i="2"/>
  <c r="C7" i="7"/>
  <c r="Q3" i="9"/>
  <c r="C6" i="2"/>
  <c r="F2" i="7"/>
  <c r="C4" i="2"/>
  <c r="O11" i="9"/>
  <c r="G10" i="12"/>
  <c r="D14" i="5" l="1"/>
  <c r="X20" i="2"/>
  <c r="Q6" i="9"/>
  <c r="R6" i="9" s="1"/>
  <c r="J11" i="9"/>
  <c r="B2" i="7"/>
  <c r="R3" i="9"/>
  <c r="P11" i="2"/>
  <c r="L11" i="2"/>
  <c r="J11" i="2"/>
  <c r="R11" i="2"/>
  <c r="T11" i="2"/>
  <c r="N11" i="2"/>
  <c r="F11" i="2"/>
  <c r="V11" i="2"/>
  <c r="H11" i="2"/>
  <c r="C7" i="2"/>
  <c r="B3" i="7"/>
  <c r="R4" i="9"/>
  <c r="R9" i="9"/>
  <c r="B8" i="7"/>
  <c r="G6" i="7"/>
  <c r="D8" i="2" s="1"/>
  <c r="T8" i="2" s="1"/>
  <c r="F8" i="7"/>
  <c r="C8" i="7"/>
  <c r="C2" i="7"/>
  <c r="D6" i="2"/>
  <c r="P6" i="2" s="1"/>
  <c r="B5" i="7"/>
  <c r="G5" i="7" s="1"/>
  <c r="C5" i="2"/>
  <c r="F14" i="5"/>
  <c r="X35" i="2"/>
  <c r="X37" i="2" s="1"/>
  <c r="G7" i="7"/>
  <c r="D9" i="2" s="1"/>
  <c r="P9" i="2" s="1"/>
  <c r="Q11" i="9"/>
  <c r="R11" i="9" l="1"/>
  <c r="F10" i="7"/>
  <c r="G3" i="7"/>
  <c r="D5" i="2" s="1"/>
  <c r="N5" i="2" s="1"/>
  <c r="C10" i="7"/>
  <c r="F10" i="10" s="1"/>
  <c r="G17" i="12" s="1"/>
  <c r="I17" i="12" s="1"/>
  <c r="R8" i="2"/>
  <c r="P8" i="2"/>
  <c r="J8" i="2"/>
  <c r="N8" i="2"/>
  <c r="L8" i="2"/>
  <c r="X8" i="2" s="1"/>
  <c r="V8" i="2"/>
  <c r="H8" i="2"/>
  <c r="F8" i="2"/>
  <c r="G8" i="7"/>
  <c r="D10" i="2" s="1"/>
  <c r="N10" i="2" s="1"/>
  <c r="T6" i="2"/>
  <c r="J6" i="2"/>
  <c r="X11" i="2"/>
  <c r="N6" i="2"/>
  <c r="L6" i="2"/>
  <c r="H6" i="2"/>
  <c r="V6" i="2"/>
  <c r="C12" i="2"/>
  <c r="F6" i="10" s="1"/>
  <c r="G13" i="12" s="1"/>
  <c r="R6" i="2"/>
  <c r="F6" i="2"/>
  <c r="D7" i="2"/>
  <c r="H7" i="2" s="1"/>
  <c r="N9" i="2"/>
  <c r="G2" i="7"/>
  <c r="D4" i="2" s="1"/>
  <c r="P4" i="2" s="1"/>
  <c r="B10" i="7"/>
  <c r="F7" i="10" s="1"/>
  <c r="G14" i="12" s="1"/>
  <c r="F9" i="10"/>
  <c r="G16" i="12" s="1"/>
  <c r="I16" i="12" s="1"/>
  <c r="L9" i="2"/>
  <c r="J9" i="2"/>
  <c r="V9" i="2"/>
  <c r="H9" i="2"/>
  <c r="F9" i="2"/>
  <c r="T9" i="2"/>
  <c r="R9" i="2"/>
  <c r="J7" i="2"/>
  <c r="L7" i="2"/>
  <c r="T10" i="2" l="1"/>
  <c r="R10" i="2"/>
  <c r="L10" i="2"/>
  <c r="V10" i="2"/>
  <c r="F10" i="2"/>
  <c r="P10" i="2"/>
  <c r="J10" i="2"/>
  <c r="H10" i="2"/>
  <c r="P7" i="2"/>
  <c r="N7" i="2"/>
  <c r="J5" i="2"/>
  <c r="V5" i="2"/>
  <c r="L5" i="2"/>
  <c r="G27" i="12"/>
  <c r="G29" i="12" s="1"/>
  <c r="I13" i="12"/>
  <c r="X9" i="2"/>
  <c r="X6" i="2"/>
  <c r="V7" i="2"/>
  <c r="F7" i="2"/>
  <c r="R7" i="2"/>
  <c r="T7" i="2"/>
  <c r="N4" i="2"/>
  <c r="N12" i="2" s="1"/>
  <c r="C9" i="5" s="1"/>
  <c r="H9" i="5" s="1"/>
  <c r="G10" i="7"/>
  <c r="J4" i="2"/>
  <c r="L4" i="2"/>
  <c r="H4" i="2"/>
  <c r="V4" i="2"/>
  <c r="F4" i="2"/>
  <c r="T4" i="2"/>
  <c r="R4" i="2"/>
  <c r="F5" i="2"/>
  <c r="H5" i="2"/>
  <c r="T5" i="2"/>
  <c r="R5" i="2"/>
  <c r="P5" i="2"/>
  <c r="D12" i="2"/>
  <c r="B46" i="2" s="1"/>
  <c r="F23" i="10"/>
  <c r="I14" i="12"/>
  <c r="F24" i="10" l="1"/>
  <c r="H27" i="12"/>
  <c r="P12" i="2"/>
  <c r="C10" i="5" s="1"/>
  <c r="H10" i="5" s="1"/>
  <c r="N11" i="11" s="1"/>
  <c r="X10" i="2"/>
  <c r="V12" i="2"/>
  <c r="C13" i="5" s="1"/>
  <c r="H13" i="5" s="1"/>
  <c r="N15" i="11" s="1"/>
  <c r="L12" i="2"/>
  <c r="C8" i="5" s="1"/>
  <c r="H8" i="5" s="1"/>
  <c r="N8" i="11" s="1"/>
  <c r="J12" i="2"/>
  <c r="C7" i="5" s="1"/>
  <c r="H7" i="5" s="1"/>
  <c r="N7" i="11" s="1"/>
  <c r="X5" i="2"/>
  <c r="X7" i="2"/>
  <c r="F12" i="2"/>
  <c r="C5" i="5" s="1"/>
  <c r="H5" i="5" s="1"/>
  <c r="H12" i="2"/>
  <c r="C6" i="5" s="1"/>
  <c r="H6" i="5" s="1"/>
  <c r="N6" i="11" s="1"/>
  <c r="X4" i="2"/>
  <c r="R12" i="2"/>
  <c r="C11" i="5" s="1"/>
  <c r="H11" i="5" s="1"/>
  <c r="N13" i="11" s="1"/>
  <c r="T12" i="2"/>
  <c r="C12" i="5" s="1"/>
  <c r="H12" i="5" s="1"/>
  <c r="N14" i="11" s="1"/>
  <c r="N10" i="11"/>
  <c r="X12" i="2" l="1"/>
  <c r="X46" i="2" s="1"/>
  <c r="C14" i="5"/>
  <c r="O11" i="11"/>
  <c r="O15" i="11"/>
  <c r="H14" i="5"/>
  <c r="N5" i="11"/>
  <c r="O8" i="11" l="1"/>
  <c r="N16" i="11"/>
  <c r="N17" i="11" s="1"/>
  <c r="I12" i="5"/>
  <c r="I11" i="5"/>
  <c r="I8" i="5"/>
  <c r="I9" i="5"/>
  <c r="I13" i="5"/>
  <c r="I7" i="5"/>
  <c r="I6" i="5"/>
  <c r="I10" i="5"/>
  <c r="I5" i="5"/>
  <c r="I14" i="5" l="1"/>
</calcChain>
</file>

<file path=xl/sharedStrings.xml><?xml version="1.0" encoding="utf-8"?>
<sst xmlns="http://schemas.openxmlformats.org/spreadsheetml/2006/main" count="442" uniqueCount="198">
  <si>
    <t>Special Contract</t>
    <phoneticPr fontId="2" type="noConversion"/>
  </si>
  <si>
    <t xml:space="preserve"> </t>
    <phoneticPr fontId="2" type="noConversion"/>
  </si>
  <si>
    <t>Chuuk and Yap</t>
    <phoneticPr fontId="2" type="noConversion"/>
  </si>
  <si>
    <t>Kosrae</t>
    <phoneticPr fontId="2" type="noConversion"/>
  </si>
  <si>
    <t>x</t>
    <phoneticPr fontId="2" type="noConversion"/>
  </si>
  <si>
    <t>Personnel Listing</t>
  </si>
  <si>
    <t>Travel</t>
  </si>
  <si>
    <t>Activity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</si>
  <si>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</si>
  <si>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</si>
  <si>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</si>
  <si>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</si>
  <si>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</si>
  <si>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</si>
  <si>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</si>
  <si>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</si>
  <si>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</si>
  <si>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</si>
  <si>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</si>
  <si>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</si>
  <si>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</si>
  <si>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2" type="noConversion"/>
  </si>
  <si>
    <t>4. Budget Items</t>
    <phoneticPr fontId="2" type="noConversion"/>
  </si>
  <si>
    <t>5. Summary</t>
    <phoneticPr fontId="2" type="noConversion"/>
  </si>
  <si>
    <t xml:space="preserve"> </t>
    <phoneticPr fontId="2" type="noConversion"/>
  </si>
  <si>
    <t>Activity</t>
    <phoneticPr fontId="2" type="noConversion"/>
  </si>
  <si>
    <t>Name</t>
    <phoneticPr fontId="2" type="noConversion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</si>
  <si>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</si>
  <si>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</si>
  <si>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</si>
  <si>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</si>
  <si>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</si>
  <si>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</si>
  <si>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</si>
  <si>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</si>
  <si>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</si>
  <si>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</si>
  <si>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</si>
  <si>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</si>
  <si>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</si>
  <si>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</si>
  <si>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</si>
  <si>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</si>
  <si>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x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</si>
  <si>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</si>
  <si>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</si>
  <si>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</si>
  <si>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</si>
  <si>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</si>
  <si>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</si>
  <si>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</si>
  <si>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</si>
  <si>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</si>
  <si>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</si>
  <si>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</si>
  <si>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</si>
  <si>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</si>
  <si>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</si>
  <si>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</si>
  <si>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</si>
  <si>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</si>
  <si>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</si>
  <si>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</si>
  <si>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</si>
  <si>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</si>
  <si>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</si>
  <si>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</si>
  <si>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</si>
  <si>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</si>
  <si>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</si>
  <si>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</si>
  <si>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</si>
  <si>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</si>
  <si>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</si>
  <si>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</si>
  <si>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</si>
  <si>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</si>
  <si>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2" type="noConversion"/>
  </si>
  <si>
    <t>Printing</t>
    <phoneticPr fontId="2" type="noConversion"/>
  </si>
  <si>
    <t>Supplies</t>
    <phoneticPr fontId="2" type="noConversion"/>
  </si>
  <si>
    <t>Unit's Mission Statement</t>
    <phoneticPr fontId="2" type="noConversion"/>
  </si>
  <si>
    <t>Office/Division Name</t>
    <phoneticPr fontId="2" type="noConversion"/>
  </si>
  <si>
    <t xml:space="preserve">Fill in your office or division performance items.  </t>
  </si>
  <si>
    <t>Fill in your Budget Items</t>
  </si>
  <si>
    <t>Personnel</t>
  </si>
  <si>
    <t>Amount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</si>
  <si>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</si>
  <si>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</si>
  <si>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</si>
  <si>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Overtime</t>
    <phoneticPr fontId="2" type="noConversion"/>
  </si>
  <si>
    <t>Staff Travel</t>
    <phoneticPr fontId="2" type="noConversion"/>
  </si>
  <si>
    <t>Membership Dues/Subscriptions</t>
    <phoneticPr fontId="2" type="noConversion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</si>
  <si>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</si>
  <si>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</si>
  <si>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</si>
  <si>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</si>
  <si>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</si>
  <si>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</si>
  <si>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</si>
  <si>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</si>
  <si>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Effectiveness and Efficiency of Operations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</si>
  <si>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</si>
  <si>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Update with applicable laws,  regulations and other governing bodies.</t>
  </si>
  <si>
    <t>students</t>
  </si>
  <si>
    <t>reports</t>
  </si>
  <si>
    <t>D</t>
  </si>
  <si>
    <t>B</t>
  </si>
  <si>
    <t xml:space="preserve"> </t>
  </si>
  <si>
    <t>College of Micronesia - FSM</t>
  </si>
  <si>
    <t>Bookstore Auxilliary Enterprise</t>
  </si>
  <si>
    <t>Projected Statement of Revenues and Expenditures</t>
  </si>
  <si>
    <t>Operating revenue:</t>
  </si>
  <si>
    <t>Sales</t>
  </si>
  <si>
    <t>Less: Cost of Goods Sold</t>
  </si>
  <si>
    <t xml:space="preserve">      Gross Profit</t>
  </si>
  <si>
    <t>Operating Expenses:</t>
  </si>
  <si>
    <t>Salaries</t>
  </si>
  <si>
    <t>Supplies</t>
  </si>
  <si>
    <t>Communication</t>
  </si>
  <si>
    <t>Membership Dues</t>
  </si>
  <si>
    <t>Staff travel</t>
  </si>
  <si>
    <t>Site Visit</t>
  </si>
  <si>
    <t>License Fee</t>
  </si>
  <si>
    <t>Net Change in Fund Balance</t>
  </si>
  <si>
    <t>Purchases of Inventory</t>
  </si>
  <si>
    <t>1.</t>
  </si>
  <si>
    <t>Purchases (Textbooks)</t>
  </si>
  <si>
    <t>Justification:  The amount requested is to cover the cost of all textbooks and</t>
  </si>
  <si>
    <t>course materials required for classes, including custom published</t>
  </si>
  <si>
    <t>booklets.</t>
  </si>
  <si>
    <t>2.</t>
  </si>
  <si>
    <t>Purchases (Sundries)</t>
  </si>
  <si>
    <t>Justification:  The amount requested is to cover the cost of school/office supplies,</t>
  </si>
  <si>
    <t>snacks and beverages, and college crested/imprinted items.</t>
  </si>
  <si>
    <t>3.</t>
  </si>
  <si>
    <t>Purchases (Clothing)</t>
  </si>
  <si>
    <t>Justification:  The amount requested is for the purchase of college imprinted</t>
  </si>
  <si>
    <t>apparels, backpacks, cups, caps and umbrellas.</t>
  </si>
  <si>
    <t>4.</t>
  </si>
  <si>
    <t>Purchases (Office Supplies)</t>
  </si>
  <si>
    <t>Justification:  The amount requested is for the purchase of college's office supplies</t>
  </si>
  <si>
    <t xml:space="preserve">for the offices and campuses of the college. </t>
  </si>
  <si>
    <t>Total Purchases of Inventory</t>
  </si>
  <si>
    <t>Mark - up for Textbooks at 20%</t>
  </si>
  <si>
    <t>Bookstore Manager</t>
  </si>
  <si>
    <t>M</t>
  </si>
  <si>
    <t>E</t>
  </si>
  <si>
    <t>BOOKSTORE</t>
  </si>
  <si>
    <t>Bookstore is committed to provide textbooks and school supplies, and good customer service to students and faculty.</t>
  </si>
  <si>
    <t>Provide institutional support to foster student success and satisfaction by providing the textbook needs of the students and faculty</t>
  </si>
  <si>
    <t>To be able to provide the necessary services for the students and faculty</t>
  </si>
  <si>
    <t>Textbooks are available before the start of the semester.</t>
  </si>
  <si>
    <t>To comply with the guidelines on textbook adoptions, ordering and processing of orders of textbooks and school supplies.</t>
  </si>
  <si>
    <t>To provide good customer service at all times.</t>
  </si>
  <si>
    <t>Textbooks are always available to students and faculty.</t>
  </si>
  <si>
    <t>To provide and maintain a self-sufficient operation</t>
  </si>
  <si>
    <t>Updated inventory records</t>
  </si>
  <si>
    <t>On-line inventory records wherein students and faculty can easily access the inventory items</t>
  </si>
  <si>
    <t>Break - even financial operations.</t>
  </si>
  <si>
    <t>Attend conferences to gather new ideas related to bookstore operation</t>
  </si>
  <si>
    <t>Conduct student activities to know more about student needs</t>
  </si>
  <si>
    <t>Update bookstore operation</t>
  </si>
  <si>
    <t>Updated bookstore operaiton</t>
  </si>
  <si>
    <t>Student Activity</t>
  </si>
  <si>
    <t>To provide and maintain self-sufficient operation</t>
  </si>
  <si>
    <t>To update bookstore operation</t>
  </si>
  <si>
    <t>Update with applicable laws, regulations and other governing bodies.</t>
  </si>
  <si>
    <t>Bookstore /College  Procurement Software</t>
  </si>
  <si>
    <t>Bookstore</t>
  </si>
  <si>
    <t>Elizabeth Layug</t>
  </si>
  <si>
    <t>Utility Worker(National)</t>
  </si>
  <si>
    <t>Caren Enlet</t>
  </si>
  <si>
    <t>Elsah Cornelius</t>
  </si>
  <si>
    <t>C</t>
  </si>
  <si>
    <t>Account Clerk II(Chuuk)</t>
  </si>
  <si>
    <t>Account Clerk I (Yap)</t>
  </si>
  <si>
    <t>Account Clerk I (CTEC)</t>
  </si>
  <si>
    <t>Mark - up for Supplies at 10%</t>
  </si>
  <si>
    <t>Mark - up for Apparel 30%</t>
  </si>
  <si>
    <t>Shipping &amp; Taxes</t>
  </si>
  <si>
    <t>A</t>
  </si>
  <si>
    <t>Bookstore Activities</t>
  </si>
  <si>
    <t>Equipments</t>
  </si>
  <si>
    <t>Mina Lekka</t>
  </si>
  <si>
    <t>SS tax= 7.5% (not to exceed $2,700 annual)</t>
  </si>
  <si>
    <t>Utility Worker(National) - SP</t>
  </si>
  <si>
    <t>FY 2023</t>
  </si>
  <si>
    <t>Arlene Laafal</t>
  </si>
  <si>
    <t>FY 2024</t>
  </si>
  <si>
    <t>Account Clerk III -SP</t>
  </si>
  <si>
    <t xml:space="preserve">JacyAnn </t>
  </si>
  <si>
    <t>Marshtan</t>
  </si>
  <si>
    <t>Ryan</t>
  </si>
  <si>
    <t>Account Clerk I(Kosrae)-SP</t>
  </si>
  <si>
    <t>Tools and Equipment</t>
  </si>
  <si>
    <t>Expenditure Budget-FY 2024</t>
  </si>
  <si>
    <t>Fiscal Year 2024</t>
  </si>
  <si>
    <t>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</si>
</sst>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_(* #,##0.0_);_(* \(#,##0.0\);_(* &quot;-&quot;?_);_(@_)"/>
  </numFmts>
  <fonts count="29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  <font>
      <u val="singleAccounting"/>
      <sz val="11"/>
      <name val="Helvetica Neue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28">
    <xf numFmtId="0" fontId="0" fillId="0" borderId="0" xfId="0"/>
    <xf numFmtId="9" fontId="0" fillId="0" borderId="0" xfId="3" applyFont="1"/>
    <xf numFmtId="0" fontId="4" fillId="0" borderId="0" xfId="0" applyFont="1"/>
    <xf numFmtId="44" fontId="4" fillId="0" borderId="0" xfId="2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/>
    <xf numFmtId="0" fontId="11" fillId="2" borderId="0" xfId="0" applyFont="1" applyFill="1"/>
    <xf numFmtId="0" fontId="11" fillId="2" borderId="0" xfId="0" applyFont="1" applyFill="1" applyBorder="1"/>
    <xf numFmtId="1" fontId="11" fillId="2" borderId="3" xfId="2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5" fillId="2" borderId="0" xfId="0" applyFont="1" applyFill="1"/>
    <xf numFmtId="0" fontId="11" fillId="2" borderId="3" xfId="0" applyFont="1" applyFill="1" applyBorder="1" applyAlignment="1">
      <alignment horizontal="centerContinuous"/>
    </xf>
    <xf numFmtId="164" fontId="11" fillId="2" borderId="3" xfId="2" applyNumberFormat="1" applyFont="1" applyFill="1" applyBorder="1" applyAlignment="1">
      <alignment horizontal="centerContinuous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/>
    <xf numFmtId="164" fontId="11" fillId="2" borderId="4" xfId="2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44" fontId="6" fillId="0" borderId="7" xfId="2" applyFont="1" applyBorder="1"/>
    <xf numFmtId="0" fontId="12" fillId="4" borderId="8" xfId="0" applyFont="1" applyFill="1" applyBorder="1"/>
    <xf numFmtId="0" fontId="6" fillId="0" borderId="8" xfId="0" applyFont="1" applyBorder="1"/>
    <xf numFmtId="0" fontId="5" fillId="0" borderId="9" xfId="0" applyFont="1" applyBorder="1"/>
    <xf numFmtId="43" fontId="6" fillId="0" borderId="11" xfId="1" applyFont="1" applyBorder="1"/>
    <xf numFmtId="43" fontId="6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0" fontId="6" fillId="2" borderId="0" xfId="0" applyFont="1" applyFill="1"/>
    <xf numFmtId="44" fontId="6" fillId="0" borderId="0" xfId="0" applyNumberFormat="1" applyFont="1"/>
    <xf numFmtId="44" fontId="6" fillId="0" borderId="9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4" borderId="10" xfId="0" applyFont="1" applyFill="1" applyBorder="1"/>
    <xf numFmtId="9" fontId="7" fillId="0" borderId="0" xfId="3" applyFont="1"/>
    <xf numFmtId="9" fontId="5" fillId="0" borderId="0" xfId="3" applyFont="1"/>
    <xf numFmtId="9" fontId="6" fillId="0" borderId="0" xfId="3" applyFont="1"/>
    <xf numFmtId="0" fontId="6" fillId="2" borderId="12" xfId="0" applyFont="1" applyFill="1" applyBorder="1"/>
    <xf numFmtId="0" fontId="7" fillId="0" borderId="0" xfId="0" applyFont="1"/>
    <xf numFmtId="43" fontId="6" fillId="0" borderId="0" xfId="1" applyFont="1"/>
    <xf numFmtId="43" fontId="6" fillId="0" borderId="0" xfId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/>
    <xf numFmtId="0" fontId="13" fillId="0" borderId="0" xfId="0" applyFont="1"/>
    <xf numFmtId="44" fontId="13" fillId="0" borderId="0" xfId="2" applyFont="1"/>
    <xf numFmtId="0" fontId="13" fillId="4" borderId="8" xfId="0" applyFont="1" applyFill="1" applyBorder="1"/>
    <xf numFmtId="0" fontId="5" fillId="0" borderId="13" xfId="0" applyFont="1" applyBorder="1"/>
    <xf numFmtId="43" fontId="6" fillId="0" borderId="14" xfId="0" applyNumberFormat="1" applyFont="1" applyBorder="1"/>
    <xf numFmtId="0" fontId="6" fillId="4" borderId="15" xfId="0" applyFont="1" applyFill="1" applyBorder="1"/>
    <xf numFmtId="0" fontId="6" fillId="0" borderId="15" xfId="0" applyFont="1" applyBorder="1"/>
    <xf numFmtId="43" fontId="6" fillId="0" borderId="14" xfId="1" applyFont="1" applyBorder="1"/>
    <xf numFmtId="0" fontId="6" fillId="0" borderId="14" xfId="0" applyFont="1" applyBorder="1"/>
    <xf numFmtId="44" fontId="6" fillId="0" borderId="13" xfId="0" applyNumberFormat="1" applyFont="1" applyBorder="1"/>
    <xf numFmtId="44" fontId="5" fillId="0" borderId="13" xfId="0" applyNumberFormat="1" applyFont="1" applyBorder="1"/>
    <xf numFmtId="43" fontId="6" fillId="0" borderId="1" xfId="1" applyFont="1" applyBorder="1"/>
    <xf numFmtId="43" fontId="11" fillId="2" borderId="3" xfId="1" applyFont="1" applyFill="1" applyBorder="1" applyAlignment="1">
      <alignment horizontal="centerContinuous"/>
    </xf>
    <xf numFmtId="43" fontId="11" fillId="2" borderId="6" xfId="1" applyFont="1" applyFill="1" applyBorder="1" applyAlignment="1">
      <alignment horizontal="center"/>
    </xf>
    <xf numFmtId="43" fontId="12" fillId="0" borderId="16" xfId="1" applyFont="1" applyBorder="1"/>
    <xf numFmtId="43" fontId="6" fillId="0" borderId="0" xfId="1" applyFont="1" applyBorder="1"/>
    <xf numFmtId="43" fontId="13" fillId="0" borderId="16" xfId="1" applyFont="1" applyBorder="1"/>
    <xf numFmtId="43" fontId="6" fillId="0" borderId="1" xfId="1" applyFont="1" applyFill="1" applyBorder="1"/>
    <xf numFmtId="43" fontId="11" fillId="2" borderId="3" xfId="1" applyFont="1" applyFill="1" applyBorder="1" applyAlignment="1">
      <alignment horizontal="left"/>
    </xf>
    <xf numFmtId="43" fontId="11" fillId="2" borderId="5" xfId="1" applyFont="1" applyFill="1" applyBorder="1" applyAlignment="1">
      <alignment horizontal="center"/>
    </xf>
    <xf numFmtId="43" fontId="6" fillId="0" borderId="13" xfId="0" applyNumberFormat="1" applyFont="1" applyBorder="1"/>
    <xf numFmtId="164" fontId="11" fillId="3" borderId="12" xfId="2" applyNumberFormat="1" applyFont="1" applyFill="1" applyBorder="1" applyAlignment="1">
      <alignment horizontal="center"/>
    </xf>
    <xf numFmtId="43" fontId="6" fillId="0" borderId="13" xfId="1" applyFont="1" applyBorder="1"/>
    <xf numFmtId="9" fontId="6" fillId="0" borderId="0" xfId="3" applyFont="1" applyBorder="1"/>
    <xf numFmtId="0" fontId="0" fillId="0" borderId="0" xfId="0" applyBorder="1"/>
    <xf numFmtId="44" fontId="4" fillId="0" borderId="0" xfId="2" applyFont="1" applyBorder="1"/>
    <xf numFmtId="0" fontId="4" fillId="2" borderId="5" xfId="0" applyFont="1" applyFill="1" applyBorder="1"/>
    <xf numFmtId="44" fontId="15" fillId="2" borderId="12" xfId="2" applyFont="1" applyFill="1" applyBorder="1" applyAlignment="1">
      <alignment horizontal="center"/>
    </xf>
    <xf numFmtId="44" fontId="15" fillId="2" borderId="6" xfId="2" applyFont="1" applyFill="1" applyBorder="1" applyAlignment="1">
      <alignment horizontal="center"/>
    </xf>
    <xf numFmtId="0" fontId="15" fillId="2" borderId="17" xfId="0" applyFont="1" applyFill="1" applyBorder="1"/>
    <xf numFmtId="44" fontId="15" fillId="2" borderId="1" xfId="2" applyFont="1" applyFill="1" applyBorder="1" applyAlignment="1">
      <alignment horizontal="center"/>
    </xf>
    <xf numFmtId="44" fontId="15" fillId="2" borderId="18" xfId="2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5" fontId="4" fillId="0" borderId="2" xfId="2" applyNumberFormat="1" applyFont="1" applyBorder="1"/>
    <xf numFmtId="0" fontId="15" fillId="0" borderId="2" xfId="0" applyNumberFormat="1" applyFont="1" applyBorder="1" applyAlignment="1">
      <alignment horizontal="center"/>
    </xf>
    <xf numFmtId="0" fontId="15" fillId="0" borderId="2" xfId="0" applyFont="1" applyBorder="1"/>
    <xf numFmtId="43" fontId="13" fillId="0" borderId="0" xfId="1" applyFont="1"/>
    <xf numFmtId="44" fontId="6" fillId="0" borderId="0" xfId="2" applyFont="1"/>
    <xf numFmtId="0" fontId="5" fillId="2" borderId="0" xfId="0" applyFont="1" applyFill="1" applyAlignment="1"/>
    <xf numFmtId="14" fontId="13" fillId="0" borderId="0" xfId="0" applyNumberFormat="1" applyFont="1"/>
    <xf numFmtId="0" fontId="13" fillId="0" borderId="0" xfId="0" applyNumberFormat="1" applyFont="1" applyAlignment="1">
      <alignment horizontal="right"/>
    </xf>
    <xf numFmtId="43" fontId="13" fillId="0" borderId="0" xfId="1" applyFont="1" applyAlignment="1">
      <alignment horizontal="right"/>
    </xf>
    <xf numFmtId="0" fontId="5" fillId="5" borderId="19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13" fillId="0" borderId="0" xfId="2" applyFont="1" applyBorder="1"/>
    <xf numFmtId="44" fontId="6" fillId="0" borderId="0" xfId="2" applyFont="1" applyBorder="1"/>
    <xf numFmtId="44" fontId="13" fillId="6" borderId="0" xfId="2" applyFont="1" applyFill="1" applyBorder="1" applyAlignment="1">
      <alignment horizontal="right"/>
    </xf>
    <xf numFmtId="0" fontId="6" fillId="0" borderId="19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8" xfId="0" applyFont="1" applyBorder="1"/>
    <xf numFmtId="0" fontId="0" fillId="0" borderId="8" xfId="0" applyBorder="1"/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/>
    </xf>
    <xf numFmtId="0" fontId="7" fillId="0" borderId="0" xfId="0" applyFont="1" applyFill="1" applyBorder="1"/>
    <xf numFmtId="167" fontId="4" fillId="0" borderId="2" xfId="2" applyNumberFormat="1" applyFont="1" applyBorder="1"/>
    <xf numFmtId="167" fontId="15" fillId="0" borderId="2" xfId="2" applyNumberFormat="1" applyFont="1" applyBorder="1"/>
    <xf numFmtId="167" fontId="4" fillId="0" borderId="2" xfId="1" applyNumberFormat="1" applyFont="1" applyBorder="1"/>
    <xf numFmtId="167" fontId="15" fillId="0" borderId="2" xfId="1" applyNumberFormat="1" applyFont="1" applyBorder="1"/>
    <xf numFmtId="44" fontId="0" fillId="0" borderId="0" xfId="0" applyNumberFormat="1"/>
    <xf numFmtId="164" fontId="0" fillId="0" borderId="0" xfId="0" applyNumberFormat="1"/>
    <xf numFmtId="0" fontId="6" fillId="0" borderId="23" xfId="0" applyFont="1" applyBorder="1" applyAlignment="1">
      <alignment horizontal="left" wrapText="1"/>
    </xf>
    <xf numFmtId="0" fontId="6" fillId="0" borderId="1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6" fillId="0" borderId="5" xfId="0" applyFont="1" applyBorder="1" applyAlignment="1">
      <alignment horizontal="left"/>
    </xf>
    <xf numFmtId="43" fontId="0" fillId="0" borderId="4" xfId="1" applyFont="1" applyBorder="1"/>
    <xf numFmtId="0" fontId="6" fillId="0" borderId="19" xfId="0" applyFont="1" applyFill="1" applyBorder="1" applyAlignment="1">
      <alignment horizontal="left" indent="6"/>
    </xf>
    <xf numFmtId="0" fontId="0" fillId="0" borderId="3" xfId="0" applyBorder="1"/>
    <xf numFmtId="0" fontId="6" fillId="0" borderId="19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43" fontId="0" fillId="0" borderId="0" xfId="0" applyNumberFormat="1"/>
    <xf numFmtId="0" fontId="6" fillId="0" borderId="2" xfId="0" applyFont="1" applyBorder="1" applyAlignment="1">
      <alignment horizontal="left" indent="6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4" fontId="16" fillId="0" borderId="0" xfId="0" applyNumberFormat="1" applyFont="1"/>
    <xf numFmtId="0" fontId="16" fillId="0" borderId="0" xfId="0" applyNumberFormat="1" applyFont="1" applyAlignment="1">
      <alignment horizontal="right"/>
    </xf>
    <xf numFmtId="43" fontId="18" fillId="0" borderId="0" xfId="1" applyFont="1"/>
    <xf numFmtId="0" fontId="18" fillId="0" borderId="0" xfId="0" applyFont="1"/>
    <xf numFmtId="44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"/>
    </xf>
    <xf numFmtId="43" fontId="13" fillId="0" borderId="0" xfId="2" applyNumberFormat="1" applyFont="1" applyBorder="1"/>
    <xf numFmtId="43" fontId="13" fillId="6" borderId="0" xfId="2" applyNumberFormat="1" applyFont="1" applyFill="1" applyBorder="1" applyAlignment="1">
      <alignment horizontal="right"/>
    </xf>
    <xf numFmtId="0" fontId="21" fillId="0" borderId="0" xfId="4"/>
    <xf numFmtId="0" fontId="22" fillId="0" borderId="0" xfId="4" applyFont="1" applyAlignment="1">
      <alignment horizontal="center"/>
    </xf>
    <xf numFmtId="0" fontId="22" fillId="0" borderId="0" xfId="4" applyFont="1" applyFill="1" applyAlignment="1">
      <alignment horizontal="center"/>
    </xf>
    <xf numFmtId="0" fontId="16" fillId="0" borderId="0" xfId="4" applyFont="1"/>
    <xf numFmtId="0" fontId="16" fillId="0" borderId="0" xfId="4" applyFont="1" applyBorder="1"/>
    <xf numFmtId="0" fontId="22" fillId="0" borderId="1" xfId="4" applyFont="1" applyFill="1" applyBorder="1" applyAlignment="1">
      <alignment horizontal="center"/>
    </xf>
    <xf numFmtId="0" fontId="22" fillId="0" borderId="0" xfId="4" applyFont="1"/>
    <xf numFmtId="0" fontId="16" fillId="0" borderId="0" xfId="4" applyFont="1" applyFill="1" applyBorder="1"/>
    <xf numFmtId="0" fontId="16" fillId="0" borderId="0" xfId="4" applyFont="1" applyBorder="1" applyAlignment="1">
      <alignment horizontal="left"/>
    </xf>
    <xf numFmtId="168" fontId="16" fillId="0" borderId="0" xfId="5" applyNumberFormat="1" applyFont="1" applyFill="1" applyBorder="1" applyAlignment="1">
      <alignment horizontal="right"/>
    </xf>
    <xf numFmtId="168" fontId="16" fillId="0" borderId="1" xfId="5" applyNumberFormat="1" applyFont="1" applyFill="1" applyBorder="1" applyAlignment="1">
      <alignment horizontal="right"/>
    </xf>
    <xf numFmtId="168" fontId="22" fillId="0" borderId="3" xfId="5" applyNumberFormat="1" applyFont="1" applyFill="1" applyBorder="1"/>
    <xf numFmtId="0" fontId="22" fillId="0" borderId="0" xfId="4" applyFont="1" applyBorder="1" applyAlignment="1">
      <alignment horizontal="left"/>
    </xf>
    <xf numFmtId="168" fontId="16" fillId="0" borderId="0" xfId="5" applyNumberFormat="1" applyFont="1" applyFill="1" applyBorder="1"/>
    <xf numFmtId="0" fontId="16" fillId="0" borderId="0" xfId="4" applyFont="1" applyFill="1" applyBorder="1" applyAlignment="1">
      <alignment horizontal="left"/>
    </xf>
    <xf numFmtId="168" fontId="16" fillId="0" borderId="0" xfId="5" applyNumberFormat="1" applyFont="1" applyFill="1"/>
    <xf numFmtId="0" fontId="23" fillId="0" borderId="0" xfId="4" applyFont="1"/>
    <xf numFmtId="168" fontId="16" fillId="0" borderId="1" xfId="5" applyNumberFormat="1" applyFont="1" applyFill="1" applyBorder="1"/>
    <xf numFmtId="0" fontId="22" fillId="0" borderId="0" xfId="4" applyFont="1" applyFill="1" applyBorder="1" applyAlignment="1">
      <alignment horizontal="left"/>
    </xf>
    <xf numFmtId="168" fontId="22" fillId="0" borderId="9" xfId="5" applyNumberFormat="1" applyFont="1" applyFill="1" applyBorder="1"/>
    <xf numFmtId="0" fontId="16" fillId="0" borderId="0" xfId="4" applyFont="1" applyFill="1"/>
    <xf numFmtId="0" fontId="21" fillId="0" borderId="0" xfId="4" applyBorder="1"/>
    <xf numFmtId="49" fontId="22" fillId="0" borderId="0" xfId="4" applyNumberFormat="1" applyFont="1" applyFill="1" applyAlignment="1">
      <alignment horizontal="left"/>
    </xf>
    <xf numFmtId="168" fontId="22" fillId="0" borderId="0" xfId="5" applyNumberFormat="1" applyFont="1" applyFill="1" applyBorder="1"/>
    <xf numFmtId="0" fontId="22" fillId="0" borderId="0" xfId="4" applyFont="1" applyFill="1"/>
    <xf numFmtId="49" fontId="16" fillId="0" borderId="0" xfId="4" applyNumberFormat="1" applyFont="1" applyFill="1"/>
    <xf numFmtId="0" fontId="21" fillId="0" borderId="0" xfId="4" applyFill="1" applyBorder="1"/>
    <xf numFmtId="0" fontId="21" fillId="0" borderId="0" xfId="4" applyFill="1"/>
    <xf numFmtId="49" fontId="22" fillId="0" borderId="0" xfId="4" quotePrefix="1" applyNumberFormat="1" applyFont="1" applyFill="1" applyAlignment="1">
      <alignment horizontal="left"/>
    </xf>
    <xf numFmtId="0" fontId="21" fillId="0" borderId="1" xfId="4" applyFill="1" applyBorder="1"/>
    <xf numFmtId="49" fontId="20" fillId="0" borderId="0" xfId="4" applyNumberFormat="1" applyFont="1"/>
    <xf numFmtId="0" fontId="25" fillId="0" borderId="0" xfId="0" applyFont="1" applyBorder="1"/>
    <xf numFmtId="0" fontId="25" fillId="0" borderId="0" xfId="0" applyFont="1" applyFill="1"/>
    <xf numFmtId="0" fontId="26" fillId="0" borderId="0" xfId="0" applyFont="1" applyBorder="1"/>
    <xf numFmtId="49" fontId="6" fillId="0" borderId="0" xfId="0" applyNumberFormat="1" applyFont="1" applyBorder="1" applyAlignment="1">
      <alignment horizontal="left" wrapText="1"/>
    </xf>
    <xf numFmtId="43" fontId="21" fillId="0" borderId="0" xfId="4" applyNumberFormat="1" applyBorder="1"/>
    <xf numFmtId="168" fontId="16" fillId="0" borderId="0" xfId="4" applyNumberFormat="1" applyFont="1"/>
    <xf numFmtId="168" fontId="21" fillId="0" borderId="0" xfId="4" applyNumberFormat="1"/>
    <xf numFmtId="43" fontId="6" fillId="0" borderId="0" xfId="0" applyNumberFormat="1" applyFont="1" applyFill="1"/>
    <xf numFmtId="44" fontId="17" fillId="0" borderId="0" xfId="0" applyNumberFormat="1" applyFont="1"/>
    <xf numFmtId="43" fontId="27" fillId="0" borderId="0" xfId="1" applyFont="1"/>
    <xf numFmtId="164" fontId="22" fillId="0" borderId="0" xfId="6" applyNumberFormat="1" applyFont="1" applyFill="1" applyBorder="1"/>
    <xf numFmtId="164" fontId="24" fillId="0" borderId="0" xfId="6" applyNumberFormat="1" applyFont="1" applyBorder="1"/>
    <xf numFmtId="169" fontId="21" fillId="0" borderId="0" xfId="4" applyNumberFormat="1"/>
    <xf numFmtId="164" fontId="21" fillId="0" borderId="0" xfId="4" applyNumberFormat="1"/>
    <xf numFmtId="44" fontId="21" fillId="0" borderId="0" xfId="4" applyNumberFormat="1"/>
    <xf numFmtId="0" fontId="28" fillId="0" borderId="0" xfId="0" applyFont="1" applyFill="1" applyAlignment="1">
      <alignment horizontal="center"/>
    </xf>
    <xf numFmtId="0" fontId="28" fillId="0" borderId="0" xfId="0" applyFont="1" applyFill="1"/>
    <xf numFmtId="44" fontId="28" fillId="0" borderId="0" xfId="2" applyFont="1" applyFill="1"/>
    <xf numFmtId="164" fontId="13" fillId="6" borderId="0" xfId="1" applyNumberFormat="1" applyFont="1" applyFill="1" applyBorder="1" applyAlignment="1">
      <alignment horizontal="right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9" fillId="0" borderId="19" xfId="0" applyNumberFormat="1" applyFont="1" applyFill="1" applyBorder="1" applyAlignment="1">
      <alignment horizontal="center" vertical="top" wrapText="1"/>
    </xf>
    <xf numFmtId="0" fontId="19" fillId="0" borderId="3" xfId="0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indent="1"/>
    </xf>
    <xf numFmtId="49" fontId="6" fillId="0" borderId="19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9" fontId="6" fillId="0" borderId="23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0" fontId="22" fillId="0" borderId="0" xfId="4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44" fontId="14" fillId="0" borderId="0" xfId="2" applyFont="1" applyBorder="1" applyAlignment="1">
      <alignment horizontal="left"/>
    </xf>
    <xf numFmtId="0" fontId="6" fillId="0" borderId="17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3%20Budget/VPAS/FY2023%20Books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6%20Budget/2016%20Budget/AS%20411%20booksto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rev_exp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8">
          <cell r="G8">
            <v>1131250</v>
          </cell>
        </row>
        <row r="9">
          <cell r="G9">
            <v>955625</v>
          </cell>
        </row>
        <row r="13">
          <cell r="G13">
            <v>71562</v>
          </cell>
        </row>
        <row r="14">
          <cell r="G14">
            <v>5367.15</v>
          </cell>
        </row>
        <row r="15">
          <cell r="G15">
            <v>3949.3599999999997</v>
          </cell>
        </row>
        <row r="16">
          <cell r="G16">
            <v>1177.2602400000001</v>
          </cell>
        </row>
        <row r="17">
          <cell r="G17">
            <v>1803.6599999999999</v>
          </cell>
        </row>
        <row r="18">
          <cell r="G18">
            <v>7200</v>
          </cell>
        </row>
        <row r="19">
          <cell r="G19">
            <v>7000</v>
          </cell>
        </row>
        <row r="20">
          <cell r="G20">
            <v>500</v>
          </cell>
        </row>
        <row r="21">
          <cell r="G21">
            <v>500</v>
          </cell>
        </row>
        <row r="22">
          <cell r="G22">
            <v>5000</v>
          </cell>
        </row>
        <row r="25">
          <cell r="G25">
            <v>10000</v>
          </cell>
        </row>
        <row r="26">
          <cell r="G26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exp"/>
      <sheetName val="salaries"/>
      <sheetName val="benefits"/>
      <sheetName val="just"/>
      <sheetName val="bud category"/>
      <sheetName val="perf_tracdat"/>
      <sheetName val="perf_allo"/>
    </sheetNames>
    <sheetDataSet>
      <sheetData sheetId="0"/>
      <sheetData sheetId="1"/>
      <sheetData sheetId="2"/>
      <sheetData sheetId="3">
        <row r="25">
          <cell r="C25">
            <v>500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85546875" defaultRowHeight="15"/>
  <cols>
    <col min="1" max="1" width="19.42578125" style="6" customWidth="1"/>
    <col min="2" max="5" width="8.85546875" style="6"/>
    <col min="6" max="6" width="12.7109375" style="6" customWidth="1"/>
    <col min="7" max="11" width="8.85546875" style="6"/>
  </cols>
  <sheetData>
    <row r="1" spans="1:6" ht="20.25">
      <c r="A1" s="9" t="s">
        <v>57</v>
      </c>
      <c r="B1" s="8"/>
      <c r="C1" s="8"/>
      <c r="D1" s="8"/>
      <c r="E1" s="8"/>
      <c r="F1" s="8"/>
    </row>
    <row r="2" spans="1:6">
      <c r="A2" s="5" t="s">
        <v>21</v>
      </c>
      <c r="B2" s="6" t="s">
        <v>82</v>
      </c>
    </row>
    <row r="3" spans="1:6">
      <c r="A3" s="5"/>
    </row>
    <row r="4" spans="1:6">
      <c r="A4" s="5" t="s">
        <v>53</v>
      </c>
      <c r="B4" s="6" t="s">
        <v>54</v>
      </c>
    </row>
    <row r="5" spans="1:6">
      <c r="A5" s="5"/>
    </row>
    <row r="6" spans="1:6">
      <c r="A6" s="5" t="s">
        <v>69</v>
      </c>
      <c r="B6" s="6" t="s">
        <v>15</v>
      </c>
    </row>
    <row r="7" spans="1:6">
      <c r="A7" s="5"/>
    </row>
    <row r="8" spans="1:6">
      <c r="A8" s="5" t="s">
        <v>22</v>
      </c>
      <c r="B8" s="6" t="s">
        <v>83</v>
      </c>
    </row>
    <row r="9" spans="1:6">
      <c r="A9" s="5"/>
    </row>
    <row r="10" spans="1:6">
      <c r="A10" s="5" t="s">
        <v>23</v>
      </c>
      <c r="B10" s="6" t="s">
        <v>49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2" type="noConversion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19" sqref="N19"/>
    </sheetView>
  </sheetViews>
  <sheetFormatPr defaultRowHeight="15"/>
  <cols>
    <col min="1" max="1" width="17.28515625" customWidth="1"/>
    <col min="14" max="14" width="11.5703125" style="128" bestFit="1" customWidth="1"/>
    <col min="15" max="15" width="10.5703125" bestFit="1" customWidth="1"/>
  </cols>
  <sheetData>
    <row r="1" spans="1:16">
      <c r="A1" t="s">
        <v>99</v>
      </c>
    </row>
    <row r="3" spans="1:16" ht="90.75" customHeight="1">
      <c r="A3" s="127" t="s">
        <v>30</v>
      </c>
      <c r="B3" s="134"/>
      <c r="C3" s="205" t="s">
        <v>101</v>
      </c>
      <c r="D3" s="206"/>
      <c r="E3" s="206"/>
      <c r="F3" s="206"/>
      <c r="G3" s="206"/>
      <c r="H3" s="206"/>
      <c r="I3" s="206"/>
      <c r="J3" s="206"/>
      <c r="K3" s="206"/>
      <c r="L3" s="206"/>
      <c r="M3" s="207"/>
      <c r="N3" s="129" t="s">
        <v>48</v>
      </c>
    </row>
    <row r="4" spans="1:16" ht="15.75" customHeight="1">
      <c r="A4" s="120" t="s">
        <v>28</v>
      </c>
      <c r="B4" s="121">
        <v>1</v>
      </c>
      <c r="C4" s="219" t="s">
        <v>150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129"/>
    </row>
    <row r="5" spans="1:16" ht="15" customHeight="1">
      <c r="A5" s="122" t="s">
        <v>72</v>
      </c>
      <c r="B5" s="123">
        <v>1.1000000000000001</v>
      </c>
      <c r="C5" s="206" t="s">
        <v>151</v>
      </c>
      <c r="D5" s="206"/>
      <c r="E5" s="206"/>
      <c r="F5" s="206"/>
      <c r="G5" s="206"/>
      <c r="H5" s="206"/>
      <c r="I5" s="206"/>
      <c r="J5" s="206"/>
      <c r="K5" s="206"/>
      <c r="L5" s="206"/>
      <c r="M5" s="102"/>
      <c r="N5" s="129">
        <f>+'Activity Cost'!H5</f>
        <v>10862.951169999997</v>
      </c>
    </row>
    <row r="6" spans="1:16" ht="15" customHeight="1">
      <c r="A6" s="110" t="s">
        <v>72</v>
      </c>
      <c r="B6" s="124">
        <v>1.2</v>
      </c>
      <c r="C6" s="216" t="s">
        <v>152</v>
      </c>
      <c r="D6" s="217"/>
      <c r="E6" s="217"/>
      <c r="F6" s="217"/>
      <c r="G6" s="217"/>
      <c r="H6" s="217"/>
      <c r="I6" s="217"/>
      <c r="J6" s="217"/>
      <c r="K6" s="217"/>
      <c r="L6" s="217"/>
      <c r="M6" s="218"/>
      <c r="N6" s="129">
        <f>+'Activity Cost'!H6</f>
        <v>10862.951169999997</v>
      </c>
    </row>
    <row r="7" spans="1:16" ht="15" customHeight="1">
      <c r="A7" s="110" t="s">
        <v>72</v>
      </c>
      <c r="B7" s="124">
        <v>1.3</v>
      </c>
      <c r="C7" s="220" t="s">
        <v>153</v>
      </c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129">
        <f>+'Activity Cost'!H7</f>
        <v>17481.059551000002</v>
      </c>
    </row>
    <row r="8" spans="1:16" ht="15" customHeight="1">
      <c r="A8" s="110" t="s">
        <v>72</v>
      </c>
      <c r="B8" s="124">
        <v>1.4</v>
      </c>
      <c r="C8" s="216" t="s">
        <v>157</v>
      </c>
      <c r="D8" s="217"/>
      <c r="E8" s="217"/>
      <c r="F8" s="217"/>
      <c r="G8" s="217"/>
      <c r="H8" s="217"/>
      <c r="I8" s="217"/>
      <c r="J8" s="217"/>
      <c r="K8" s="217"/>
      <c r="L8" s="218"/>
      <c r="M8" s="185"/>
      <c r="N8" s="129">
        <f>+'Activity Cost'!H8</f>
        <v>21909.736584999999</v>
      </c>
      <c r="O8" s="136">
        <f>SUM(N5:N8)</f>
        <v>61116.698475999998</v>
      </c>
      <c r="P8" t="s">
        <v>103</v>
      </c>
    </row>
    <row r="9" spans="1:16" ht="15" customHeight="1">
      <c r="A9" s="125" t="s">
        <v>31</v>
      </c>
      <c r="B9" s="119">
        <v>2</v>
      </c>
      <c r="C9" s="216" t="s">
        <v>100</v>
      </c>
      <c r="D9" s="217"/>
      <c r="E9" s="217"/>
      <c r="F9" s="217"/>
      <c r="G9" s="217"/>
      <c r="H9" s="217"/>
      <c r="I9" s="217"/>
      <c r="J9" s="217"/>
      <c r="K9" s="217"/>
      <c r="L9" s="217"/>
      <c r="M9" s="218"/>
      <c r="N9" s="129"/>
    </row>
    <row r="10" spans="1:16" ht="15" customHeight="1">
      <c r="A10" s="110" t="s">
        <v>71</v>
      </c>
      <c r="B10" s="123">
        <v>2.1</v>
      </c>
      <c r="C10" s="208" t="s">
        <v>164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10"/>
      <c r="N10" s="129">
        <f>+'Activity Cost'!H9</f>
        <v>20184.274136</v>
      </c>
    </row>
    <row r="11" spans="1:16">
      <c r="A11" s="110" t="s">
        <v>71</v>
      </c>
      <c r="B11" s="124">
        <v>2.2000000000000002</v>
      </c>
      <c r="C11" s="225" t="s">
        <v>156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7"/>
      <c r="N11" s="129">
        <f>+'Activity Cost'!H10</f>
        <v>26726.827237999998</v>
      </c>
      <c r="O11" s="136">
        <f>+N11+N10</f>
        <v>46911.101373999998</v>
      </c>
    </row>
    <row r="12" spans="1:16">
      <c r="A12" s="126" t="s">
        <v>28</v>
      </c>
      <c r="B12" s="124">
        <v>3</v>
      </c>
      <c r="C12" s="208" t="s">
        <v>165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10"/>
      <c r="N12" s="129"/>
    </row>
    <row r="13" spans="1:16">
      <c r="A13" s="110" t="s">
        <v>71</v>
      </c>
      <c r="B13" s="124">
        <v>3.1</v>
      </c>
      <c r="C13" s="216" t="s">
        <v>159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8"/>
      <c r="N13" s="129">
        <f>+'Activity Cost'!H11</f>
        <v>7474.5375510000003</v>
      </c>
    </row>
    <row r="14" spans="1:16">
      <c r="A14" s="110" t="s">
        <v>71</v>
      </c>
      <c r="B14" s="124">
        <v>3.2</v>
      </c>
      <c r="C14" s="208" t="s">
        <v>160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10"/>
      <c r="N14" s="129">
        <f>+'Activity Cost'!H12</f>
        <v>10674.537551000001</v>
      </c>
    </row>
    <row r="15" spans="1:16" ht="15" customHeight="1">
      <c r="A15" s="110" t="s">
        <v>71</v>
      </c>
      <c r="B15" s="130">
        <v>3.3</v>
      </c>
      <c r="C15" s="216" t="s">
        <v>166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8"/>
      <c r="N15" s="131">
        <f>+'Activity Cost'!H13</f>
        <v>5313.8760679999996</v>
      </c>
      <c r="O15" s="136">
        <f>SUM(N13:N15)</f>
        <v>23462.95117</v>
      </c>
      <c r="P15" t="s">
        <v>104</v>
      </c>
    </row>
    <row r="16" spans="1:16" ht="15" customHeight="1">
      <c r="A16" s="132" t="s">
        <v>20</v>
      </c>
      <c r="B16" s="135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29">
        <f>SUM(N5:N15)</f>
        <v>131490.75102</v>
      </c>
    </row>
    <row r="17" spans="14:14">
      <c r="N17" s="128">
        <f>+N16-'line item'!F23</f>
        <v>0</v>
      </c>
    </row>
  </sheetData>
  <mergeCells count="13">
    <mergeCell ref="C13:M13"/>
    <mergeCell ref="C15:M15"/>
    <mergeCell ref="C14:M14"/>
    <mergeCell ref="C11:M11"/>
    <mergeCell ref="C12:M12"/>
    <mergeCell ref="C3:M3"/>
    <mergeCell ref="C9:M9"/>
    <mergeCell ref="C10:M10"/>
    <mergeCell ref="C4:M4"/>
    <mergeCell ref="C6:M6"/>
    <mergeCell ref="C7:M7"/>
    <mergeCell ref="C5:L5"/>
    <mergeCell ref="C8:L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workbookViewId="0">
      <selection activeCell="L23" sqref="L23"/>
    </sheetView>
  </sheetViews>
  <sheetFormatPr defaultColWidth="8.85546875" defaultRowHeight="15"/>
  <cols>
    <col min="1" max="1" width="18.42578125" style="6" customWidth="1"/>
    <col min="2" max="2" width="6.42578125" style="6" customWidth="1"/>
    <col min="3" max="8" width="8.85546875" style="6"/>
    <col min="9" max="9" width="9.140625" style="6" customWidth="1"/>
    <col min="10" max="11" width="8.85546875" style="6"/>
    <col min="12" max="12" width="8.85546875" style="6" customWidth="1"/>
    <col min="13" max="13" width="34" style="6" hidden="1" customWidth="1"/>
  </cols>
  <sheetData>
    <row r="2" spans="1:14" ht="23.25" customHeight="1" thickBot="1">
      <c r="A2" s="201" t="s">
        <v>42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104"/>
    </row>
    <row r="3" spans="1:14" ht="18.75" customHeight="1" thickTop="1">
      <c r="A3" s="203" t="s">
        <v>81</v>
      </c>
      <c r="B3" s="204"/>
      <c r="C3" s="215" t="s">
        <v>147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103"/>
    </row>
    <row r="4" spans="1:14" ht="45.75" customHeight="1">
      <c r="A4" s="211" t="s">
        <v>80</v>
      </c>
      <c r="B4" s="212"/>
      <c r="C4" s="213" t="s">
        <v>148</v>
      </c>
      <c r="D4" s="214"/>
      <c r="E4" s="214"/>
      <c r="F4" s="214"/>
      <c r="G4" s="214"/>
      <c r="H4" s="214"/>
      <c r="I4" s="214"/>
      <c r="J4" s="214"/>
      <c r="K4" s="214"/>
      <c r="L4" s="214"/>
      <c r="M4" s="118"/>
      <c r="N4" s="103"/>
    </row>
    <row r="5" spans="1:14" ht="36" customHeight="1">
      <c r="A5" s="105" t="s">
        <v>30</v>
      </c>
      <c r="B5" s="106">
        <v>1</v>
      </c>
      <c r="C5" s="205" t="s">
        <v>149</v>
      </c>
      <c r="D5" s="206"/>
      <c r="E5" s="206"/>
      <c r="F5" s="206"/>
      <c r="G5" s="206"/>
      <c r="H5" s="206"/>
      <c r="I5" s="206"/>
      <c r="J5" s="206"/>
      <c r="K5" s="206"/>
      <c r="L5" s="207"/>
      <c r="M5" s="102"/>
      <c r="N5" s="10"/>
    </row>
    <row r="6" spans="1:14" ht="27.75" customHeight="1">
      <c r="A6" s="107" t="s">
        <v>28</v>
      </c>
      <c r="B6" s="108">
        <v>1</v>
      </c>
      <c r="C6" s="219" t="s">
        <v>150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103"/>
    </row>
    <row r="7" spans="1:14">
      <c r="A7" s="11" t="s">
        <v>72</v>
      </c>
      <c r="B7" s="11">
        <v>1.1000000000000001</v>
      </c>
      <c r="C7" s="206" t="s">
        <v>151</v>
      </c>
      <c r="D7" s="206"/>
      <c r="E7" s="206"/>
      <c r="F7" s="206"/>
      <c r="G7" s="206"/>
      <c r="H7" s="206"/>
      <c r="I7" s="206"/>
      <c r="J7" s="206"/>
      <c r="K7" s="206"/>
      <c r="L7" s="206"/>
      <c r="M7" s="102"/>
      <c r="N7" s="103"/>
    </row>
    <row r="8" spans="1:14" ht="31.5" customHeight="1">
      <c r="A8" s="11" t="s">
        <v>72</v>
      </c>
      <c r="B8" s="101">
        <v>1.2</v>
      </c>
      <c r="C8" s="216" t="s">
        <v>152</v>
      </c>
      <c r="D8" s="217"/>
      <c r="E8" s="217"/>
      <c r="F8" s="217"/>
      <c r="G8" s="217"/>
      <c r="H8" s="217"/>
      <c r="I8" s="217"/>
      <c r="J8" s="217"/>
      <c r="K8" s="217"/>
      <c r="L8" s="217"/>
      <c r="M8" s="218"/>
      <c r="N8" s="103"/>
    </row>
    <row r="9" spans="1:14">
      <c r="A9" s="11" t="s">
        <v>72</v>
      </c>
      <c r="B9" s="101">
        <v>1.3</v>
      </c>
      <c r="C9" s="220" t="s">
        <v>153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103"/>
    </row>
    <row r="10" spans="1:14">
      <c r="A10" s="11" t="s">
        <v>72</v>
      </c>
      <c r="B10" s="101">
        <v>1.4</v>
      </c>
      <c r="C10" s="216" t="s">
        <v>157</v>
      </c>
      <c r="D10" s="217"/>
      <c r="E10" s="217"/>
      <c r="F10" s="217"/>
      <c r="G10" s="217"/>
      <c r="H10" s="217"/>
      <c r="I10" s="217"/>
      <c r="J10" s="217"/>
      <c r="K10" s="217"/>
      <c r="L10" s="218"/>
      <c r="M10" s="185"/>
      <c r="N10" s="103"/>
    </row>
    <row r="11" spans="1:14">
      <c r="A11" s="137" t="s">
        <v>27</v>
      </c>
      <c r="B11" s="101">
        <v>1</v>
      </c>
      <c r="C11" s="208" t="s">
        <v>154</v>
      </c>
      <c r="D11" s="209"/>
      <c r="E11" s="209"/>
      <c r="F11" s="209"/>
      <c r="G11" s="209"/>
      <c r="H11" s="209"/>
      <c r="I11" s="209"/>
      <c r="J11" s="209"/>
      <c r="K11" s="209"/>
      <c r="L11" s="210"/>
      <c r="M11" s="102"/>
      <c r="N11" s="103"/>
    </row>
    <row r="12" spans="1:14" ht="15" customHeight="1">
      <c r="A12" s="138" t="s">
        <v>31</v>
      </c>
      <c r="B12" s="106">
        <v>2</v>
      </c>
      <c r="C12" s="216" t="s">
        <v>100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8"/>
      <c r="N12" s="103"/>
    </row>
    <row r="13" spans="1:14" ht="15" customHeight="1">
      <c r="A13" s="123" t="s">
        <v>71</v>
      </c>
      <c r="B13" s="11">
        <v>2.1</v>
      </c>
      <c r="C13" s="208" t="s">
        <v>155</v>
      </c>
      <c r="D13" s="209"/>
      <c r="E13" s="209"/>
      <c r="F13" s="209"/>
      <c r="G13" s="209"/>
      <c r="H13" s="209"/>
      <c r="I13" s="209"/>
      <c r="J13" s="209"/>
      <c r="K13" s="209"/>
      <c r="L13" s="209"/>
      <c r="M13" s="102"/>
      <c r="N13" s="103"/>
    </row>
    <row r="14" spans="1:14" ht="15" customHeight="1">
      <c r="A14" s="123" t="s">
        <v>71</v>
      </c>
      <c r="B14" s="101">
        <v>2.2000000000000002</v>
      </c>
      <c r="C14" s="208" t="s">
        <v>156</v>
      </c>
      <c r="D14" s="209"/>
      <c r="E14" s="209"/>
      <c r="F14" s="209"/>
      <c r="G14" s="209"/>
      <c r="H14" s="209"/>
      <c r="I14" s="209"/>
      <c r="J14" s="209"/>
      <c r="K14" s="209"/>
      <c r="L14" s="210"/>
      <c r="M14" s="102"/>
      <c r="N14" s="103"/>
    </row>
    <row r="15" spans="1:14" ht="15" hidden="1" customHeight="1">
      <c r="A15" s="123" t="s">
        <v>71</v>
      </c>
      <c r="B15" s="101">
        <v>2.2999999999999998</v>
      </c>
      <c r="C15" s="208"/>
      <c r="D15" s="209"/>
      <c r="E15" s="209"/>
      <c r="F15" s="209"/>
      <c r="G15" s="209"/>
      <c r="H15" s="209"/>
      <c r="I15" s="209"/>
      <c r="J15" s="209"/>
      <c r="K15" s="209"/>
      <c r="L15" s="210"/>
      <c r="M15" s="102"/>
      <c r="N15" s="103"/>
    </row>
    <row r="16" spans="1:14">
      <c r="A16" s="137" t="s">
        <v>29</v>
      </c>
      <c r="B16" s="101">
        <v>2</v>
      </c>
      <c r="C16" s="220" t="s">
        <v>158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103"/>
    </row>
    <row r="17" spans="1:14">
      <c r="A17" s="139" t="s">
        <v>28</v>
      </c>
      <c r="B17" s="101">
        <v>3</v>
      </c>
      <c r="C17" s="208" t="s">
        <v>161</v>
      </c>
      <c r="D17" s="209"/>
      <c r="E17" s="209"/>
      <c r="F17" s="209"/>
      <c r="G17" s="209"/>
      <c r="H17" s="209"/>
      <c r="I17" s="209"/>
      <c r="J17" s="209"/>
      <c r="K17" s="209"/>
      <c r="L17" s="210"/>
      <c r="M17" s="102"/>
      <c r="N17" s="103"/>
    </row>
    <row r="18" spans="1:14">
      <c r="A18" s="123" t="s">
        <v>71</v>
      </c>
      <c r="B18" s="101">
        <v>3.1</v>
      </c>
      <c r="C18" s="216" t="s">
        <v>159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8"/>
      <c r="N18" s="103"/>
    </row>
    <row r="19" spans="1:14">
      <c r="A19" s="123" t="s">
        <v>71</v>
      </c>
      <c r="B19" s="101">
        <v>3.2</v>
      </c>
      <c r="C19" s="208" t="s">
        <v>160</v>
      </c>
      <c r="D19" s="209"/>
      <c r="E19" s="209"/>
      <c r="F19" s="209"/>
      <c r="G19" s="209"/>
      <c r="H19" s="209"/>
      <c r="I19" s="209"/>
      <c r="J19" s="209"/>
      <c r="K19" s="209"/>
      <c r="L19" s="210"/>
      <c r="M19" s="102"/>
      <c r="N19" s="103"/>
    </row>
    <row r="20" spans="1:14">
      <c r="A20" s="123" t="s">
        <v>71</v>
      </c>
      <c r="B20" s="101">
        <v>3.3</v>
      </c>
      <c r="C20" s="216" t="s">
        <v>102</v>
      </c>
      <c r="D20" s="217"/>
      <c r="E20" s="217"/>
      <c r="F20" s="217"/>
      <c r="G20" s="217"/>
      <c r="H20" s="217"/>
      <c r="I20" s="217"/>
      <c r="J20" s="217"/>
      <c r="K20" s="217"/>
      <c r="L20" s="217"/>
      <c r="M20" s="218"/>
      <c r="N20" s="103"/>
    </row>
    <row r="21" spans="1:14">
      <c r="A21" s="137" t="s">
        <v>29</v>
      </c>
      <c r="B21" s="101">
        <v>3</v>
      </c>
      <c r="C21" s="220" t="s">
        <v>162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103"/>
    </row>
    <row r="22" spans="1:14">
      <c r="N22" s="10"/>
    </row>
    <row r="23" spans="1:14">
      <c r="N23" s="10"/>
    </row>
    <row r="24" spans="1:14">
      <c r="N24" s="10"/>
    </row>
    <row r="25" spans="1:14">
      <c r="N25" s="10"/>
    </row>
    <row r="26" spans="1:14">
      <c r="N26" s="10"/>
    </row>
    <row r="27" spans="1:14">
      <c r="N27" s="10"/>
    </row>
    <row r="28" spans="1:14">
      <c r="N28" s="10"/>
    </row>
    <row r="29" spans="1:14">
      <c r="N29" s="10"/>
    </row>
    <row r="30" spans="1:14">
      <c r="N30" s="10"/>
    </row>
    <row r="31" spans="1:14">
      <c r="N31" s="10"/>
    </row>
    <row r="32" spans="1:14">
      <c r="N32" s="10"/>
    </row>
    <row r="33" spans="14:14">
      <c r="N33" s="10"/>
    </row>
    <row r="34" spans="14:14">
      <c r="N34" s="10"/>
    </row>
    <row r="35" spans="14:14">
      <c r="N35" s="10"/>
    </row>
    <row r="36" spans="14:14">
      <c r="N36" s="10"/>
    </row>
    <row r="37" spans="14:14">
      <c r="N37" s="10"/>
    </row>
    <row r="38" spans="14:14">
      <c r="N38" s="10"/>
    </row>
    <row r="39" spans="14:14">
      <c r="N39" s="10"/>
    </row>
    <row r="40" spans="14:14">
      <c r="N40" s="10"/>
    </row>
    <row r="41" spans="14:14">
      <c r="N41" s="10"/>
    </row>
    <row r="42" spans="14:14">
      <c r="N42" s="10"/>
    </row>
    <row r="43" spans="14:14">
      <c r="N43" s="10"/>
    </row>
    <row r="44" spans="14:14">
      <c r="N44" s="10"/>
    </row>
    <row r="45" spans="14:14">
      <c r="N45" s="10"/>
    </row>
    <row r="46" spans="14:14">
      <c r="N46" s="10"/>
    </row>
    <row r="47" spans="14:14">
      <c r="N47" s="10"/>
    </row>
    <row r="48" spans="14:14">
      <c r="N48" s="10"/>
    </row>
    <row r="49" spans="14:14">
      <c r="N49" s="10"/>
    </row>
    <row r="50" spans="14:14">
      <c r="N50" s="10"/>
    </row>
    <row r="51" spans="14:14">
      <c r="N51" s="10"/>
    </row>
    <row r="52" spans="14:14">
      <c r="N52" s="10"/>
    </row>
    <row r="53" spans="14:14">
      <c r="N53" s="10"/>
    </row>
    <row r="54" spans="14:14">
      <c r="N54" s="10"/>
    </row>
    <row r="55" spans="14:14">
      <c r="N55" s="10"/>
    </row>
    <row r="56" spans="14:14">
      <c r="N56" s="10"/>
    </row>
    <row r="57" spans="14:14">
      <c r="N57" s="10"/>
    </row>
    <row r="58" spans="14:14">
      <c r="N58" s="10"/>
    </row>
    <row r="59" spans="14:14">
      <c r="N59" s="10"/>
    </row>
    <row r="60" spans="14:14">
      <c r="N60" s="10"/>
    </row>
    <row r="61" spans="14:14">
      <c r="N61" s="10"/>
    </row>
    <row r="62" spans="14:14">
      <c r="N62" s="10"/>
    </row>
    <row r="63" spans="14:14">
      <c r="N63" s="10"/>
    </row>
    <row r="64" spans="14:14">
      <c r="N64" s="10"/>
    </row>
    <row r="65" spans="14:14">
      <c r="N65" s="10"/>
    </row>
    <row r="66" spans="14:14">
      <c r="N66" s="10"/>
    </row>
    <row r="67" spans="14:14">
      <c r="N67" s="10"/>
    </row>
    <row r="68" spans="14:14">
      <c r="N68" s="10"/>
    </row>
    <row r="69" spans="14:14">
      <c r="N69" s="10"/>
    </row>
    <row r="70" spans="14:14">
      <c r="N70" s="10"/>
    </row>
    <row r="71" spans="14:14">
      <c r="N71" s="10"/>
    </row>
    <row r="72" spans="14:14">
      <c r="N72" s="10"/>
    </row>
    <row r="73" spans="14:14">
      <c r="N73" s="10"/>
    </row>
    <row r="74" spans="14:14">
      <c r="N74" s="10"/>
    </row>
    <row r="75" spans="14:14">
      <c r="N75" s="10"/>
    </row>
    <row r="76" spans="14:14">
      <c r="N76" s="10"/>
    </row>
    <row r="77" spans="14:14">
      <c r="N77" s="10"/>
    </row>
    <row r="78" spans="14:14">
      <c r="N78" s="10"/>
    </row>
    <row r="79" spans="14:14">
      <c r="N79" s="10"/>
    </row>
    <row r="80" spans="14:14">
      <c r="N80" s="10"/>
    </row>
    <row r="81" spans="14:14">
      <c r="N81" s="10"/>
    </row>
    <row r="82" spans="14:14">
      <c r="N82" s="10"/>
    </row>
    <row r="83" spans="14:14">
      <c r="N83" s="10"/>
    </row>
    <row r="84" spans="14:14">
      <c r="N84" s="10"/>
    </row>
    <row r="85" spans="14:14">
      <c r="N85" s="10"/>
    </row>
    <row r="86" spans="14:14">
      <c r="N86" s="10"/>
    </row>
    <row r="87" spans="14:14">
      <c r="N87" s="10"/>
    </row>
    <row r="88" spans="14:14">
      <c r="N88" s="10"/>
    </row>
    <row r="89" spans="14:14">
      <c r="N89" s="10"/>
    </row>
    <row r="90" spans="14:14">
      <c r="N90" s="10"/>
    </row>
    <row r="91" spans="14:14">
      <c r="N91" s="10"/>
    </row>
    <row r="92" spans="14:14">
      <c r="N92" s="10"/>
    </row>
    <row r="93" spans="14:14">
      <c r="N93" s="10"/>
    </row>
    <row r="94" spans="14:14">
      <c r="N94" s="10"/>
    </row>
    <row r="95" spans="14:14">
      <c r="N95" s="10"/>
    </row>
    <row r="96" spans="14:14">
      <c r="N96" s="10"/>
    </row>
    <row r="97" spans="14:14">
      <c r="N97" s="10"/>
    </row>
  </sheetData>
  <mergeCells count="22">
    <mergeCell ref="C20:M20"/>
    <mergeCell ref="C21:M21"/>
    <mergeCell ref="C14:L14"/>
    <mergeCell ref="C19:L19"/>
    <mergeCell ref="C12:M12"/>
    <mergeCell ref="C18:M18"/>
    <mergeCell ref="C16:M16"/>
    <mergeCell ref="C17:L17"/>
    <mergeCell ref="C13:L13"/>
    <mergeCell ref="C15:L15"/>
    <mergeCell ref="A2:M2"/>
    <mergeCell ref="A3:B3"/>
    <mergeCell ref="C5:L5"/>
    <mergeCell ref="C7:L7"/>
    <mergeCell ref="C11:L11"/>
    <mergeCell ref="A4:B4"/>
    <mergeCell ref="C4:L4"/>
    <mergeCell ref="C3:M3"/>
    <mergeCell ref="C8:M8"/>
    <mergeCell ref="C6:M6"/>
    <mergeCell ref="C9:M9"/>
    <mergeCell ref="C10:L10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G33" sqref="G33"/>
    </sheetView>
  </sheetViews>
  <sheetFormatPr defaultColWidth="9.140625" defaultRowHeight="12.75"/>
  <cols>
    <col min="1" max="1" width="6.28515625" style="151" customWidth="1"/>
    <col min="2" max="2" width="30.42578125" style="151" customWidth="1"/>
    <col min="3" max="3" width="11.7109375" style="151" customWidth="1"/>
    <col min="4" max="4" width="4" style="151" customWidth="1"/>
    <col min="5" max="5" width="10.85546875" style="151" customWidth="1"/>
    <col min="6" max="6" width="9.140625" style="151"/>
    <col min="7" max="7" width="13.28515625" style="151" customWidth="1"/>
    <col min="8" max="8" width="11.28515625" style="151" bestFit="1" customWidth="1"/>
    <col min="9" max="16384" width="9.140625" style="151"/>
  </cols>
  <sheetData>
    <row r="1" spans="1:9">
      <c r="A1" s="221" t="s">
        <v>108</v>
      </c>
      <c r="B1" s="221"/>
      <c r="C1" s="221"/>
      <c r="D1" s="221"/>
      <c r="E1" s="221"/>
    </row>
    <row r="2" spans="1:9">
      <c r="A2" s="221" t="s">
        <v>109</v>
      </c>
      <c r="B2" s="221"/>
      <c r="C2" s="221"/>
      <c r="D2" s="221"/>
      <c r="E2" s="221"/>
    </row>
    <row r="3" spans="1:9">
      <c r="A3" s="221" t="s">
        <v>110</v>
      </c>
      <c r="B3" s="221"/>
      <c r="C3" s="221"/>
      <c r="D3" s="221"/>
      <c r="E3" s="221"/>
    </row>
    <row r="4" spans="1:9">
      <c r="A4" s="221" t="s">
        <v>196</v>
      </c>
      <c r="B4" s="221"/>
      <c r="C4" s="221"/>
      <c r="D4" s="221"/>
      <c r="E4" s="221"/>
    </row>
    <row r="5" spans="1:9">
      <c r="A5" s="152"/>
      <c r="B5" s="152"/>
      <c r="C5" s="153"/>
      <c r="D5" s="152"/>
      <c r="E5" s="152"/>
    </row>
    <row r="6" spans="1:9">
      <c r="A6" s="154"/>
      <c r="B6" s="155"/>
      <c r="D6" s="154"/>
      <c r="E6" s="156" t="s">
        <v>186</v>
      </c>
      <c r="F6" s="172"/>
      <c r="G6" s="156" t="s">
        <v>188</v>
      </c>
      <c r="H6" s="154"/>
    </row>
    <row r="7" spans="1:9">
      <c r="A7" s="157" t="s">
        <v>111</v>
      </c>
      <c r="B7" s="155"/>
      <c r="D7" s="154"/>
      <c r="E7" s="158"/>
      <c r="F7" s="172"/>
      <c r="G7" s="158"/>
      <c r="H7" s="154"/>
    </row>
    <row r="8" spans="1:9">
      <c r="A8" s="154"/>
      <c r="B8" s="159" t="s">
        <v>112</v>
      </c>
      <c r="D8" s="154"/>
      <c r="E8" s="160">
        <f>+[1]rev_exp!$G$8</f>
        <v>1131250</v>
      </c>
      <c r="F8" s="172"/>
      <c r="G8" s="160">
        <f>G51</f>
        <v>1043750</v>
      </c>
      <c r="H8" s="154"/>
    </row>
    <row r="9" spans="1:9">
      <c r="A9" s="154"/>
      <c r="B9" s="159" t="s">
        <v>113</v>
      </c>
      <c r="D9" s="154"/>
      <c r="E9" s="161">
        <f>+[1]rev_exp!$G$9</f>
        <v>955625</v>
      </c>
      <c r="F9" s="186"/>
      <c r="G9" s="161">
        <f>H51</f>
        <v>885625</v>
      </c>
      <c r="H9" s="154"/>
    </row>
    <row r="10" spans="1:9">
      <c r="A10" s="154"/>
      <c r="B10" s="159" t="s">
        <v>114</v>
      </c>
      <c r="D10" s="154"/>
      <c r="E10" s="162">
        <f>SUM(E8-E9)</f>
        <v>175625</v>
      </c>
      <c r="F10" s="172"/>
      <c r="G10" s="162">
        <f>SUM(G8-G9)</f>
        <v>158125</v>
      </c>
      <c r="H10" s="154"/>
    </row>
    <row r="11" spans="1:9">
      <c r="A11" s="154"/>
      <c r="B11" s="163"/>
      <c r="D11" s="154"/>
      <c r="E11" s="164"/>
      <c r="F11" s="172"/>
      <c r="G11" s="164"/>
      <c r="H11" s="154"/>
    </row>
    <row r="12" spans="1:9">
      <c r="A12" s="163" t="s">
        <v>115</v>
      </c>
      <c r="B12" s="154"/>
      <c r="D12" s="154"/>
      <c r="E12" s="164"/>
      <c r="F12" s="172"/>
      <c r="G12" s="164"/>
      <c r="H12" s="154"/>
    </row>
    <row r="13" spans="1:9">
      <c r="A13" s="154"/>
      <c r="B13" s="165" t="s">
        <v>116</v>
      </c>
      <c r="D13" s="154"/>
      <c r="E13" s="166">
        <f>+[1]rev_exp!$G$13</f>
        <v>71562</v>
      </c>
      <c r="F13" s="172"/>
      <c r="G13" s="166">
        <f>+'line item'!F6</f>
        <v>67387.423076923078</v>
      </c>
      <c r="H13" s="154"/>
      <c r="I13" s="188">
        <f>+G13-E13</f>
        <v>-4174.576923076922</v>
      </c>
    </row>
    <row r="14" spans="1:9">
      <c r="A14" s="154"/>
      <c r="B14" s="165" t="s">
        <v>44</v>
      </c>
      <c r="D14" s="154"/>
      <c r="E14" s="166">
        <f>+[1]rev_exp!$G$14</f>
        <v>5367.15</v>
      </c>
      <c r="F14" s="172"/>
      <c r="G14" s="166">
        <f>+'line item'!F7</f>
        <v>5054.0567307692309</v>
      </c>
      <c r="H14" s="154"/>
      <c r="I14" s="188">
        <f t="shared" ref="I14:I26" si="0">+G14-E14</f>
        <v>-313.09326923076878</v>
      </c>
    </row>
    <row r="15" spans="1:9">
      <c r="A15" s="154"/>
      <c r="B15" s="165" t="s">
        <v>18</v>
      </c>
      <c r="D15" s="154"/>
      <c r="E15" s="166">
        <f>+[1]rev_exp!$G$15</f>
        <v>3949.3599999999997</v>
      </c>
      <c r="F15" s="172"/>
      <c r="G15" s="166">
        <f>+'line item'!F8</f>
        <v>3369.3599999999997</v>
      </c>
      <c r="H15" s="154"/>
      <c r="I15" s="188">
        <f t="shared" si="0"/>
        <v>-580</v>
      </c>
    </row>
    <row r="16" spans="1:9">
      <c r="A16" s="154"/>
      <c r="B16" s="165" t="s">
        <v>97</v>
      </c>
      <c r="D16" s="154"/>
      <c r="E16" s="166">
        <f>+[1]rev_exp!$G$16</f>
        <v>1177.2602400000001</v>
      </c>
      <c r="F16" s="172"/>
      <c r="G16" s="166">
        <f>+'line item'!F9</f>
        <v>973.08852000000013</v>
      </c>
      <c r="H16" s="154"/>
      <c r="I16" s="188">
        <f t="shared" si="0"/>
        <v>-204.17171999999994</v>
      </c>
    </row>
    <row r="17" spans="1:9">
      <c r="A17" s="154"/>
      <c r="B17" s="165" t="s">
        <v>16</v>
      </c>
      <c r="D17" s="154"/>
      <c r="E17" s="166">
        <f>+[1]rev_exp!$G$17</f>
        <v>1803.6599999999999</v>
      </c>
      <c r="F17" s="172"/>
      <c r="G17" s="166">
        <f>+'line item'!F10</f>
        <v>1506.8226923076923</v>
      </c>
      <c r="H17" s="154"/>
      <c r="I17" s="188">
        <f t="shared" si="0"/>
        <v>-296.8373076923076</v>
      </c>
    </row>
    <row r="18" spans="1:9">
      <c r="A18" s="154"/>
      <c r="B18" s="165" t="s">
        <v>17</v>
      </c>
      <c r="D18" s="154"/>
      <c r="E18" s="166">
        <f>+[1]rev_exp!$G$18</f>
        <v>7200</v>
      </c>
      <c r="F18" s="172"/>
      <c r="G18" s="166">
        <f>+'line item'!F11</f>
        <v>7200</v>
      </c>
      <c r="H18" s="154"/>
      <c r="I18" s="188">
        <f t="shared" si="0"/>
        <v>0</v>
      </c>
    </row>
    <row r="19" spans="1:9" ht="14.25">
      <c r="A19" s="167"/>
      <c r="B19" s="159" t="s">
        <v>117</v>
      </c>
      <c r="D19" s="154"/>
      <c r="E19" s="166">
        <f>+[1]rev_exp!$G$19</f>
        <v>7000</v>
      </c>
      <c r="F19" s="172"/>
      <c r="G19" s="166">
        <f>+'line item'!F18</f>
        <v>7000</v>
      </c>
      <c r="H19" s="154"/>
      <c r="I19" s="188">
        <f t="shared" si="0"/>
        <v>0</v>
      </c>
    </row>
    <row r="20" spans="1:9" ht="14.25">
      <c r="A20" s="167"/>
      <c r="B20" s="159" t="s">
        <v>118</v>
      </c>
      <c r="D20" s="154"/>
      <c r="E20" s="166">
        <f>+[1]rev_exp!$G$20</f>
        <v>500</v>
      </c>
      <c r="F20" s="172"/>
      <c r="G20" s="166">
        <f>+'line item'!F16</f>
        <v>500</v>
      </c>
      <c r="H20" s="154"/>
      <c r="I20" s="188">
        <f t="shared" si="0"/>
        <v>0</v>
      </c>
    </row>
    <row r="21" spans="1:9" ht="14.25">
      <c r="A21" s="167"/>
      <c r="B21" s="159" t="s">
        <v>119</v>
      </c>
      <c r="D21" s="154"/>
      <c r="E21" s="166">
        <f>+[1]rev_exp!$G$21</f>
        <v>500</v>
      </c>
      <c r="F21" s="172"/>
      <c r="G21" s="166">
        <f>+'line item'!F19</f>
        <v>500</v>
      </c>
      <c r="H21" s="154"/>
      <c r="I21" s="188">
        <f t="shared" si="0"/>
        <v>0</v>
      </c>
    </row>
    <row r="22" spans="1:9" ht="14.25">
      <c r="A22" s="167"/>
      <c r="B22" s="165" t="s">
        <v>181</v>
      </c>
      <c r="E22" s="166">
        <f>+[1]rev_exp!$G$22</f>
        <v>5000</v>
      </c>
      <c r="F22" s="172"/>
      <c r="G22" s="166">
        <f>+'line item'!F20</f>
        <v>5000</v>
      </c>
      <c r="I22" s="188">
        <f t="shared" si="0"/>
        <v>0</v>
      </c>
    </row>
    <row r="23" spans="1:9" ht="14.25">
      <c r="A23" s="167"/>
      <c r="B23" s="159" t="s">
        <v>120</v>
      </c>
      <c r="D23" s="154"/>
      <c r="E23" s="166">
        <v>0</v>
      </c>
      <c r="F23" s="172"/>
      <c r="G23" s="166">
        <f>+'5.Budget_Items'!B19</f>
        <v>5000</v>
      </c>
      <c r="H23" s="154"/>
      <c r="I23" s="188">
        <f t="shared" si="0"/>
        <v>5000</v>
      </c>
    </row>
    <row r="24" spans="1:9" ht="14.25">
      <c r="A24" s="167"/>
      <c r="B24" s="159" t="s">
        <v>121</v>
      </c>
      <c r="D24" s="154"/>
      <c r="E24" s="166">
        <v>0</v>
      </c>
      <c r="F24" s="172"/>
      <c r="G24" s="166">
        <f>+'5.Budget_Items'!B17+'5.Budget_Items'!B18</f>
        <v>8000</v>
      </c>
      <c r="H24" s="154"/>
      <c r="I24" s="188">
        <f t="shared" si="0"/>
        <v>8000</v>
      </c>
    </row>
    <row r="25" spans="1:9" ht="14.25">
      <c r="A25" s="167"/>
      <c r="B25" s="159" t="s">
        <v>182</v>
      </c>
      <c r="D25" s="154"/>
      <c r="E25" s="166">
        <f>+[1]rev_exp!$G$25</f>
        <v>10000</v>
      </c>
      <c r="F25" s="172"/>
      <c r="G25" s="166">
        <f>+'line item'!F22</f>
        <v>20000</v>
      </c>
      <c r="H25" s="154"/>
      <c r="I25" s="188">
        <f t="shared" si="0"/>
        <v>10000</v>
      </c>
    </row>
    <row r="26" spans="1:9" ht="14.25">
      <c r="A26" s="167"/>
      <c r="B26" s="159" t="s">
        <v>122</v>
      </c>
      <c r="D26" s="154"/>
      <c r="E26" s="168">
        <f>+[1]rev_exp!$G$26</f>
        <v>10000</v>
      </c>
      <c r="F26" s="172"/>
      <c r="G26" s="168"/>
      <c r="H26" s="154"/>
      <c r="I26" s="188">
        <f t="shared" si="0"/>
        <v>-10000</v>
      </c>
    </row>
    <row r="27" spans="1:9" ht="14.25">
      <c r="A27" s="167"/>
      <c r="B27" s="155"/>
      <c r="D27" s="154"/>
      <c r="E27" s="162">
        <f>SUM(E13:E26)</f>
        <v>124059.43024</v>
      </c>
      <c r="F27" s="172"/>
      <c r="G27" s="162">
        <f>SUM(G13:G26)</f>
        <v>131490.75102</v>
      </c>
      <c r="H27" s="187">
        <f>+G27-'line item'!F23</f>
        <v>0</v>
      </c>
    </row>
    <row r="28" spans="1:9" ht="14.25">
      <c r="A28" s="167"/>
      <c r="B28" s="155"/>
      <c r="D28" s="154"/>
      <c r="E28" s="164"/>
      <c r="F28" s="172"/>
      <c r="G28" s="164"/>
      <c r="H28" s="154"/>
    </row>
    <row r="29" spans="1:9" ht="13.5" thickBot="1">
      <c r="B29" s="169" t="s">
        <v>123</v>
      </c>
      <c r="D29" s="171"/>
      <c r="E29" s="170">
        <f>+E10-E27</f>
        <v>51565.569759999998</v>
      </c>
      <c r="F29" s="172"/>
      <c r="G29" s="170">
        <f>+G10-G27</f>
        <v>26634.248980000004</v>
      </c>
      <c r="H29" s="171"/>
    </row>
    <row r="30" spans="1:9" ht="13.5" thickTop="1">
      <c r="B30" s="172"/>
      <c r="F30" s="172"/>
      <c r="G30" s="172"/>
    </row>
    <row r="31" spans="1:9">
      <c r="A31" s="173" t="s">
        <v>124</v>
      </c>
      <c r="B31" s="171"/>
      <c r="C31" s="171"/>
      <c r="D31" s="171"/>
      <c r="E31" s="171"/>
      <c r="F31" s="158"/>
      <c r="G31" s="174"/>
    </row>
    <row r="32" spans="1:9">
      <c r="A32" s="173"/>
      <c r="B32" s="171"/>
      <c r="C32" s="171"/>
      <c r="D32" s="171"/>
      <c r="E32" s="171"/>
      <c r="F32" s="171"/>
      <c r="G32" s="174"/>
    </row>
    <row r="33" spans="1:8">
      <c r="A33" s="173" t="s">
        <v>125</v>
      </c>
      <c r="B33" s="175" t="s">
        <v>126</v>
      </c>
      <c r="C33" s="171"/>
      <c r="D33" s="171"/>
      <c r="E33" s="171"/>
      <c r="F33" s="171"/>
      <c r="G33" s="174">
        <f>175000/2</f>
        <v>87500</v>
      </c>
      <c r="H33" s="194">
        <f>G33*0.8</f>
        <v>70000</v>
      </c>
    </row>
    <row r="34" spans="1:8">
      <c r="A34" s="176"/>
      <c r="B34" s="171" t="s">
        <v>127</v>
      </c>
      <c r="C34" s="171"/>
      <c r="D34" s="171"/>
      <c r="E34" s="171"/>
      <c r="F34" s="171"/>
      <c r="G34" s="177"/>
    </row>
    <row r="35" spans="1:8">
      <c r="A35" s="178"/>
      <c r="B35" s="171" t="s">
        <v>128</v>
      </c>
      <c r="D35" s="171"/>
      <c r="E35" s="171"/>
      <c r="F35" s="171"/>
      <c r="G35" s="174"/>
    </row>
    <row r="36" spans="1:8">
      <c r="A36" s="176"/>
      <c r="B36" s="171" t="s">
        <v>129</v>
      </c>
      <c r="D36" s="171"/>
      <c r="E36" s="171"/>
      <c r="F36" s="171"/>
      <c r="G36" s="178"/>
    </row>
    <row r="37" spans="1:8">
      <c r="A37" s="176"/>
      <c r="B37" s="171"/>
      <c r="C37" s="171" t="s">
        <v>107</v>
      </c>
      <c r="D37" s="171"/>
      <c r="E37" s="171"/>
      <c r="F37" s="171"/>
      <c r="G37" s="174"/>
    </row>
    <row r="38" spans="1:8">
      <c r="A38" s="173" t="s">
        <v>130</v>
      </c>
      <c r="B38" s="175" t="s">
        <v>131</v>
      </c>
      <c r="C38" s="171"/>
      <c r="D38" s="171"/>
      <c r="E38" s="171"/>
      <c r="F38" s="171"/>
      <c r="G38" s="174">
        <f>(250000+75000)*1.25</f>
        <v>406250</v>
      </c>
      <c r="H38" s="194">
        <f>G38*0.9</f>
        <v>365625</v>
      </c>
    </row>
    <row r="39" spans="1:8">
      <c r="A39" s="176"/>
      <c r="B39" s="171" t="s">
        <v>132</v>
      </c>
      <c r="C39" s="171"/>
      <c r="D39" s="171"/>
      <c r="E39" s="171"/>
      <c r="F39" s="171"/>
      <c r="G39" s="174"/>
    </row>
    <row r="40" spans="1:8">
      <c r="A40" s="178"/>
      <c r="B40" s="171" t="s">
        <v>133</v>
      </c>
      <c r="D40" s="171"/>
      <c r="E40" s="171"/>
      <c r="F40" s="171"/>
      <c r="G40" s="177"/>
    </row>
    <row r="41" spans="1:8">
      <c r="A41" s="176"/>
      <c r="B41" s="171"/>
      <c r="C41" s="171"/>
      <c r="D41" s="171"/>
      <c r="E41" s="171"/>
      <c r="F41" s="171"/>
      <c r="G41" s="178"/>
    </row>
    <row r="42" spans="1:8">
      <c r="A42" s="173" t="s">
        <v>134</v>
      </c>
      <c r="B42" s="175" t="s">
        <v>135</v>
      </c>
      <c r="C42" s="171"/>
      <c r="D42" s="171"/>
      <c r="E42" s="171"/>
      <c r="F42" s="171"/>
      <c r="G42" s="174">
        <f>150000+75000</f>
        <v>225000</v>
      </c>
      <c r="H42" s="194">
        <f>G42*0.7</f>
        <v>157500</v>
      </c>
    </row>
    <row r="43" spans="1:8">
      <c r="A43" s="176"/>
      <c r="B43" s="171" t="s">
        <v>136</v>
      </c>
      <c r="C43" s="171"/>
      <c r="D43" s="171"/>
      <c r="E43" s="171"/>
      <c r="F43" s="171"/>
      <c r="G43" s="177"/>
    </row>
    <row r="44" spans="1:8">
      <c r="A44" s="178"/>
      <c r="B44" s="171" t="s">
        <v>137</v>
      </c>
      <c r="D44" s="171"/>
      <c r="E44" s="171"/>
      <c r="F44" s="171"/>
      <c r="G44" s="174"/>
    </row>
    <row r="45" spans="1:8">
      <c r="A45" s="178"/>
      <c r="B45" s="171"/>
      <c r="C45" s="171"/>
      <c r="D45" s="171"/>
      <c r="E45" s="171"/>
      <c r="F45" s="171"/>
      <c r="G45" s="174"/>
    </row>
    <row r="46" spans="1:8">
      <c r="A46" s="179" t="s">
        <v>138</v>
      </c>
      <c r="B46" s="175" t="s">
        <v>139</v>
      </c>
      <c r="C46" s="171"/>
      <c r="D46" s="171"/>
      <c r="E46" s="171"/>
      <c r="F46" s="171"/>
      <c r="G46" s="174">
        <f>150000+75000+100000</f>
        <v>325000</v>
      </c>
      <c r="H46" s="194">
        <f>G46*0.9</f>
        <v>292500</v>
      </c>
    </row>
    <row r="47" spans="1:8">
      <c r="A47" s="176"/>
      <c r="B47" s="171" t="s">
        <v>140</v>
      </c>
      <c r="C47" s="171"/>
      <c r="D47" s="171"/>
      <c r="E47" s="171"/>
      <c r="F47" s="171"/>
      <c r="G47" s="174"/>
    </row>
    <row r="48" spans="1:8">
      <c r="A48" s="178"/>
      <c r="B48" s="171" t="s">
        <v>141</v>
      </c>
      <c r="D48" s="171"/>
      <c r="E48" s="171"/>
      <c r="F48" s="171"/>
      <c r="G48" s="178"/>
    </row>
    <row r="49" spans="1:8">
      <c r="A49" s="178"/>
      <c r="B49" s="171" t="s">
        <v>179</v>
      </c>
      <c r="C49" s="171" t="s">
        <v>107</v>
      </c>
      <c r="D49" s="171"/>
      <c r="E49" s="171"/>
      <c r="F49" s="171"/>
      <c r="G49" s="180"/>
      <c r="H49" s="196"/>
    </row>
    <row r="50" spans="1:8">
      <c r="A50" s="178"/>
      <c r="B50" s="171"/>
      <c r="C50" s="171"/>
      <c r="D50" s="171"/>
      <c r="E50" s="171"/>
      <c r="F50" s="171"/>
      <c r="G50" s="178"/>
    </row>
    <row r="51" spans="1:8">
      <c r="A51" s="175" t="s">
        <v>142</v>
      </c>
      <c r="B51" s="178"/>
      <c r="C51" s="178"/>
      <c r="D51" s="178"/>
      <c r="E51" s="178"/>
      <c r="F51" s="178"/>
      <c r="G51" s="192">
        <f>SUM(G33:G49)</f>
        <v>1043750</v>
      </c>
      <c r="H51" s="192">
        <f>SUM(H33:H49)</f>
        <v>885625</v>
      </c>
    </row>
    <row r="52" spans="1:8">
      <c r="A52" s="175"/>
      <c r="B52" s="178"/>
      <c r="C52" s="178"/>
      <c r="D52" s="178"/>
      <c r="E52" s="178"/>
      <c r="F52" s="178"/>
      <c r="G52" s="192"/>
    </row>
    <row r="53" spans="1:8" ht="15.75">
      <c r="A53" s="181" t="s">
        <v>143</v>
      </c>
      <c r="G53" s="193">
        <f>G33*0.2</f>
        <v>17500</v>
      </c>
    </row>
    <row r="54" spans="1:8" ht="15">
      <c r="A54" s="181" t="s">
        <v>177</v>
      </c>
      <c r="G54" s="194">
        <f>G46*0.1</f>
        <v>32500</v>
      </c>
    </row>
    <row r="55" spans="1:8" ht="15">
      <c r="A55" s="181" t="s">
        <v>178</v>
      </c>
      <c r="G55" s="194">
        <f>G42*0.3</f>
        <v>67500</v>
      </c>
    </row>
    <row r="58" spans="1:8">
      <c r="G58" s="195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G6" sqref="G6"/>
    </sheetView>
  </sheetViews>
  <sheetFormatPr defaultColWidth="8.85546875" defaultRowHeight="15"/>
  <cols>
    <col min="1" max="1" width="21.7109375" customWidth="1"/>
    <col min="2" max="2" width="28" bestFit="1" customWidth="1"/>
    <col min="3" max="3" width="7.7109375" customWidth="1"/>
    <col min="4" max="4" width="6" customWidth="1"/>
    <col min="5" max="5" width="7.28515625" customWidth="1"/>
    <col min="6" max="6" width="14" bestFit="1" customWidth="1"/>
    <col min="7" max="8" width="8" customWidth="1"/>
    <col min="9" max="9" width="5.85546875" customWidth="1"/>
    <col min="10" max="10" width="12.7109375" bestFit="1" customWidth="1"/>
    <col min="11" max="11" width="11.28515625" bestFit="1" customWidth="1"/>
    <col min="12" max="12" width="11.7109375" customWidth="1"/>
    <col min="13" max="13" width="12.85546875" customWidth="1"/>
    <col min="14" max="14" width="13.42578125" customWidth="1"/>
    <col min="15" max="17" width="12.7109375" bestFit="1" customWidth="1"/>
    <col min="18" max="18" width="12.28515625" bestFit="1" customWidth="1"/>
  </cols>
  <sheetData>
    <row r="1" spans="1:18" s="6" customFormat="1">
      <c r="C1" s="223" t="s">
        <v>186</v>
      </c>
      <c r="D1" s="223"/>
      <c r="E1" s="223"/>
      <c r="F1" s="223"/>
      <c r="G1" s="223" t="s">
        <v>188</v>
      </c>
      <c r="H1" s="223"/>
      <c r="I1" s="223"/>
      <c r="J1" s="223"/>
    </row>
    <row r="2" spans="1:18" s="6" customFormat="1">
      <c r="A2" s="18" t="s">
        <v>26</v>
      </c>
      <c r="B2" s="18" t="s">
        <v>34</v>
      </c>
      <c r="C2" s="90" t="s">
        <v>35</v>
      </c>
      <c r="D2" s="90"/>
      <c r="E2" s="90"/>
      <c r="F2" s="18" t="s">
        <v>36</v>
      </c>
      <c r="G2" s="222" t="s">
        <v>37</v>
      </c>
      <c r="H2" s="222"/>
      <c r="I2" s="222"/>
      <c r="J2" s="18" t="s">
        <v>50</v>
      </c>
      <c r="K2" s="18" t="s">
        <v>38</v>
      </c>
      <c r="L2" s="18" t="s">
        <v>39</v>
      </c>
      <c r="M2" s="18" t="s">
        <v>55</v>
      </c>
      <c r="N2" s="18" t="s">
        <v>56</v>
      </c>
      <c r="O2" s="18" t="s">
        <v>40</v>
      </c>
      <c r="P2" s="18" t="s">
        <v>41</v>
      </c>
      <c r="Q2" s="18" t="s">
        <v>20</v>
      </c>
    </row>
    <row r="3" spans="1:18" s="6" customFormat="1">
      <c r="A3" s="184" t="s">
        <v>169</v>
      </c>
      <c r="B3" s="182" t="s">
        <v>144</v>
      </c>
      <c r="C3" s="148" t="s">
        <v>145</v>
      </c>
      <c r="D3" s="148">
        <v>13</v>
      </c>
      <c r="E3" s="148" t="s">
        <v>106</v>
      </c>
      <c r="F3" s="53">
        <v>20678</v>
      </c>
      <c r="G3" s="148" t="s">
        <v>145</v>
      </c>
      <c r="H3" s="148">
        <v>14</v>
      </c>
      <c r="I3" s="148" t="s">
        <v>105</v>
      </c>
      <c r="J3" s="53">
        <v>21950</v>
      </c>
      <c r="K3" s="91">
        <v>44638</v>
      </c>
      <c r="L3" s="91">
        <v>45003</v>
      </c>
      <c r="M3" s="92">
        <v>12</v>
      </c>
      <c r="N3" s="92">
        <v>14</v>
      </c>
      <c r="O3" s="93">
        <f t="shared" ref="O3:O10" si="0">SUM(F3/26)*M3</f>
        <v>9543.6923076923067</v>
      </c>
      <c r="P3" s="89">
        <f>SUM(J3/26)*N3</f>
        <v>11819.23076923077</v>
      </c>
      <c r="Q3" s="89">
        <f>SUM(O3:P3)</f>
        <v>21362.923076923078</v>
      </c>
      <c r="R3" s="189">
        <f>+Q3-F3</f>
        <v>684.92307692307804</v>
      </c>
    </row>
    <row r="4" spans="1:18" s="6" customFormat="1">
      <c r="A4" s="184" t="s">
        <v>190</v>
      </c>
      <c r="B4" s="182" t="s">
        <v>189</v>
      </c>
      <c r="C4" s="140"/>
      <c r="D4" s="140"/>
      <c r="E4" s="140"/>
      <c r="F4" s="88">
        <v>5720</v>
      </c>
      <c r="G4" s="140"/>
      <c r="H4" s="140"/>
      <c r="I4" s="140"/>
      <c r="J4" s="88">
        <f>+F4</f>
        <v>5720</v>
      </c>
      <c r="K4" s="91"/>
      <c r="L4" s="91"/>
      <c r="M4" s="92">
        <v>17</v>
      </c>
      <c r="N4" s="92">
        <v>9</v>
      </c>
      <c r="O4" s="93">
        <f t="shared" si="0"/>
        <v>3740</v>
      </c>
      <c r="P4" s="46">
        <f>SUM(J4/26)*N4</f>
        <v>1980</v>
      </c>
      <c r="Q4" s="46">
        <f t="shared" ref="Q4:Q6" si="1">SUM(O4:P4)</f>
        <v>5720</v>
      </c>
      <c r="R4" s="189">
        <f t="shared" ref="R4:R10" si="2">+Q4-F4</f>
        <v>0</v>
      </c>
    </row>
    <row r="5" spans="1:18" s="6" customFormat="1">
      <c r="A5" s="184" t="s">
        <v>191</v>
      </c>
      <c r="B5" s="183" t="s">
        <v>185</v>
      </c>
      <c r="C5" s="141"/>
      <c r="D5" s="141"/>
      <c r="E5" s="141"/>
      <c r="F5" s="88">
        <v>5720</v>
      </c>
      <c r="G5" s="141"/>
      <c r="H5" s="141"/>
      <c r="I5" s="141"/>
      <c r="J5" s="88">
        <f>+F5</f>
        <v>5720</v>
      </c>
      <c r="K5" s="91"/>
      <c r="L5" s="91"/>
      <c r="M5" s="92"/>
      <c r="N5" s="92">
        <v>26</v>
      </c>
      <c r="O5" s="93">
        <f t="shared" si="0"/>
        <v>0</v>
      </c>
      <c r="P5" s="46">
        <f t="shared" ref="P5:P10" si="3">SUM(J5/26)*N5</f>
        <v>5720</v>
      </c>
      <c r="Q5" s="46">
        <f t="shared" ref="Q5" si="4">SUM(O5:P5)</f>
        <v>5720</v>
      </c>
      <c r="R5" s="189">
        <f t="shared" si="2"/>
        <v>0</v>
      </c>
    </row>
    <row r="6" spans="1:18" s="6" customFormat="1">
      <c r="A6" s="184" t="s">
        <v>192</v>
      </c>
      <c r="B6" s="183" t="s">
        <v>170</v>
      </c>
      <c r="C6" s="141"/>
      <c r="D6" s="141"/>
      <c r="E6" s="141"/>
      <c r="F6" s="88">
        <v>5720</v>
      </c>
      <c r="G6" s="141"/>
      <c r="H6" s="141"/>
      <c r="I6" s="141"/>
      <c r="J6" s="88">
        <f>+J5</f>
        <v>5720</v>
      </c>
      <c r="K6" s="142"/>
      <c r="L6" s="142"/>
      <c r="M6" s="143"/>
      <c r="N6" s="143">
        <v>26</v>
      </c>
      <c r="O6" s="93">
        <f t="shared" si="0"/>
        <v>0</v>
      </c>
      <c r="P6" s="46">
        <f t="shared" si="3"/>
        <v>5720</v>
      </c>
      <c r="Q6" s="144">
        <f t="shared" si="1"/>
        <v>5720</v>
      </c>
      <c r="R6" s="189">
        <f t="shared" si="2"/>
        <v>0</v>
      </c>
    </row>
    <row r="7" spans="1:18" s="6" customFormat="1">
      <c r="A7" s="184" t="s">
        <v>183</v>
      </c>
      <c r="B7" s="183" t="s">
        <v>176</v>
      </c>
      <c r="C7" s="197" t="s">
        <v>146</v>
      </c>
      <c r="D7" s="198">
        <v>6</v>
      </c>
      <c r="E7" s="198" t="s">
        <v>173</v>
      </c>
      <c r="F7" s="199">
        <v>7123</v>
      </c>
      <c r="G7" s="197" t="s">
        <v>146</v>
      </c>
      <c r="H7" s="198">
        <v>8</v>
      </c>
      <c r="I7" s="198" t="s">
        <v>180</v>
      </c>
      <c r="J7" s="199">
        <v>7561</v>
      </c>
      <c r="K7" s="142">
        <v>44835</v>
      </c>
      <c r="L7" s="142">
        <v>45200</v>
      </c>
      <c r="M7" s="143">
        <v>0</v>
      </c>
      <c r="N7" s="143">
        <v>26</v>
      </c>
      <c r="O7" s="93">
        <f t="shared" si="0"/>
        <v>0</v>
      </c>
      <c r="P7" s="46">
        <f t="shared" si="3"/>
        <v>7561</v>
      </c>
      <c r="Q7" s="144">
        <f t="shared" ref="Q7" si="5">SUM(O7:P7)</f>
        <v>7561</v>
      </c>
      <c r="R7" s="189">
        <f t="shared" si="2"/>
        <v>438</v>
      </c>
    </row>
    <row r="8" spans="1:18" s="6" customFormat="1">
      <c r="A8" s="184" t="s">
        <v>171</v>
      </c>
      <c r="B8" s="183" t="s">
        <v>174</v>
      </c>
      <c r="C8" s="141" t="s">
        <v>105</v>
      </c>
      <c r="D8" s="141">
        <v>15</v>
      </c>
      <c r="E8" s="141" t="s">
        <v>180</v>
      </c>
      <c r="F8" s="88">
        <v>9425</v>
      </c>
      <c r="G8" s="141" t="s">
        <v>105</v>
      </c>
      <c r="H8" s="141">
        <v>16</v>
      </c>
      <c r="I8" s="141" t="s">
        <v>106</v>
      </c>
      <c r="J8" s="88">
        <v>9906</v>
      </c>
      <c r="K8" s="142">
        <v>44732</v>
      </c>
      <c r="L8" s="142">
        <v>45097</v>
      </c>
      <c r="M8" s="143">
        <v>19</v>
      </c>
      <c r="N8" s="143">
        <v>7</v>
      </c>
      <c r="O8" s="93">
        <f t="shared" si="0"/>
        <v>6887.5</v>
      </c>
      <c r="P8" s="46">
        <f t="shared" si="3"/>
        <v>2667</v>
      </c>
      <c r="Q8" s="144">
        <f t="shared" ref="Q8:Q10" si="6">SUM(O8:P8)</f>
        <v>9554.5</v>
      </c>
      <c r="R8" s="189">
        <f t="shared" si="2"/>
        <v>129.5</v>
      </c>
    </row>
    <row r="9" spans="1:18" s="6" customFormat="1">
      <c r="A9" s="184" t="s">
        <v>197</v>
      </c>
      <c r="B9" s="183" t="s">
        <v>193</v>
      </c>
      <c r="C9" s="141"/>
      <c r="D9" s="141"/>
      <c r="E9" s="141"/>
      <c r="F9" s="88">
        <v>5720</v>
      </c>
      <c r="G9" s="141"/>
      <c r="H9" s="141"/>
      <c r="I9" s="141"/>
      <c r="J9" s="88">
        <v>5720</v>
      </c>
      <c r="K9" s="142"/>
      <c r="L9" s="142"/>
      <c r="M9" s="143">
        <v>2</v>
      </c>
      <c r="N9" s="143">
        <v>24</v>
      </c>
      <c r="O9" s="93">
        <f t="shared" si="0"/>
        <v>440</v>
      </c>
      <c r="P9" s="46">
        <f t="shared" si="3"/>
        <v>5280</v>
      </c>
      <c r="Q9" s="144">
        <f t="shared" si="6"/>
        <v>5720</v>
      </c>
      <c r="R9" s="189">
        <f t="shared" si="2"/>
        <v>0</v>
      </c>
    </row>
    <row r="10" spans="1:18" s="6" customFormat="1" ht="16.5">
      <c r="A10" s="184" t="s">
        <v>187</v>
      </c>
      <c r="B10" s="183" t="s">
        <v>175</v>
      </c>
      <c r="C10" s="141" t="s">
        <v>173</v>
      </c>
      <c r="D10" s="141">
        <v>3</v>
      </c>
      <c r="E10" s="141" t="s">
        <v>105</v>
      </c>
      <c r="F10" s="191">
        <v>5736</v>
      </c>
      <c r="G10" s="141" t="s">
        <v>173</v>
      </c>
      <c r="H10" s="141">
        <v>5</v>
      </c>
      <c r="I10" s="141" t="s">
        <v>180</v>
      </c>
      <c r="J10" s="191">
        <v>6029</v>
      </c>
      <c r="K10" s="142">
        <v>44835</v>
      </c>
      <c r="L10" s="142">
        <v>45200</v>
      </c>
      <c r="M10" s="143">
        <v>0</v>
      </c>
      <c r="N10" s="143">
        <v>26</v>
      </c>
      <c r="O10" s="93">
        <f t="shared" si="0"/>
        <v>0</v>
      </c>
      <c r="P10" s="46">
        <f t="shared" si="3"/>
        <v>6029</v>
      </c>
      <c r="Q10" s="144">
        <f t="shared" si="6"/>
        <v>6029</v>
      </c>
      <c r="R10" s="189">
        <f t="shared" si="2"/>
        <v>293</v>
      </c>
    </row>
    <row r="11" spans="1:18" s="6" customFormat="1" ht="14.25">
      <c r="F11" s="146">
        <f>SUM(F3:F10)</f>
        <v>65842</v>
      </c>
      <c r="G11" s="147"/>
      <c r="H11" s="147"/>
      <c r="I11" s="147"/>
      <c r="J11" s="146">
        <f>SUM(J3:J10)</f>
        <v>68326</v>
      </c>
      <c r="K11" s="145"/>
      <c r="L11" s="145"/>
      <c r="M11" s="145"/>
      <c r="N11" s="145"/>
      <c r="O11" s="146">
        <f t="shared" ref="O11:Q11" si="7">SUM(O3:O10)</f>
        <v>20611.192307692305</v>
      </c>
      <c r="P11" s="146">
        <f t="shared" si="7"/>
        <v>46776.230769230766</v>
      </c>
      <c r="Q11" s="146">
        <f t="shared" si="7"/>
        <v>67387.423076923078</v>
      </c>
      <c r="R11" s="190">
        <f>SUM(R3:R10)</f>
        <v>1545.423076923078</v>
      </c>
    </row>
    <row r="12" spans="1:18" s="6" customFormat="1" ht="14.25"/>
    <row r="13" spans="1:18" s="6" customFormat="1" ht="14.25">
      <c r="A13" s="6" t="s">
        <v>51</v>
      </c>
    </row>
    <row r="14" spans="1:18">
      <c r="F14" s="136"/>
      <c r="J14" s="136"/>
    </row>
    <row r="15" spans="1:18">
      <c r="J15" s="136"/>
    </row>
    <row r="16" spans="1:18">
      <c r="J16" s="136"/>
    </row>
    <row r="17" spans="10:10">
      <c r="J17" s="136"/>
    </row>
    <row r="18" spans="10:10">
      <c r="J18" s="116"/>
    </row>
  </sheetData>
  <mergeCells count="3">
    <mergeCell ref="G2:I2"/>
    <mergeCell ref="C1:F1"/>
    <mergeCell ref="G1:J1"/>
  </mergeCells>
  <phoneticPr fontId="2" type="noConversion"/>
  <pageMargins left="0.7" right="0.7" top="0.75" bottom="0.75" header="0.3" footer="0.3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10" zoomScaleNormal="110" workbookViewId="0">
      <selection activeCell="D7" sqref="D7"/>
    </sheetView>
  </sheetViews>
  <sheetFormatPr defaultColWidth="8.85546875" defaultRowHeight="15"/>
  <cols>
    <col min="1" max="1" width="22.28515625" style="6" customWidth="1"/>
    <col min="2" max="2" width="13.140625" style="6" customWidth="1"/>
    <col min="3" max="3" width="12.7109375" style="6" customWidth="1"/>
    <col min="4" max="4" width="11.7109375" style="6" bestFit="1" customWidth="1"/>
    <col min="5" max="5" width="17.7109375" style="6" customWidth="1"/>
    <col min="6" max="6" width="19.42578125" style="6" bestFit="1" customWidth="1"/>
    <col min="7" max="7" width="12.85546875" style="6" bestFit="1" customWidth="1"/>
    <col min="8" max="8" width="13.140625" style="6" customWidth="1"/>
  </cols>
  <sheetData>
    <row r="1" spans="1:8">
      <c r="A1" s="94" t="s">
        <v>84</v>
      </c>
      <c r="B1" s="95" t="s">
        <v>44</v>
      </c>
      <c r="C1" s="96" t="s">
        <v>16</v>
      </c>
      <c r="D1" s="96" t="s">
        <v>17</v>
      </c>
      <c r="E1" s="97" t="s">
        <v>18</v>
      </c>
      <c r="F1" s="97" t="s">
        <v>19</v>
      </c>
      <c r="G1" s="95" t="s">
        <v>20</v>
      </c>
    </row>
    <row r="2" spans="1:8">
      <c r="A2" s="184" t="str">
        <f>+'3.Pay Level'!A3</f>
        <v>Elizabeth Layug</v>
      </c>
      <c r="B2" s="98">
        <f>IF(('3.Pay Level'!Q3*0.075)&gt;=2700,2700,'3.Pay Level'!Q3*0.075)</f>
        <v>1602.2192307692308</v>
      </c>
      <c r="C2" s="98">
        <f>SUM('3.Pay Level'!Q3*0.03)</f>
        <v>640.8876923076923</v>
      </c>
      <c r="D2" s="99">
        <v>7200</v>
      </c>
      <c r="E2" s="99">
        <v>1049.3599999999999</v>
      </c>
      <c r="F2" s="100">
        <f>SUM(('3.Pay Level'!Q3*2)*0.00038)*26</f>
        <v>422.13136000000003</v>
      </c>
      <c r="G2" s="99">
        <f>SUM(B2:F2)</f>
        <v>10914.598283076923</v>
      </c>
      <c r="H2" s="36"/>
    </row>
    <row r="3" spans="1:8">
      <c r="A3" s="184" t="str">
        <f>+'3.Pay Level'!A4</f>
        <v xml:space="preserve">JacyAnn </v>
      </c>
      <c r="B3" s="149">
        <f>IF(('3.Pay Level'!Q4*0.075)&gt;=2700,2700,'3.Pay Level'!Q4*0.075)</f>
        <v>429</v>
      </c>
      <c r="C3" s="149">
        <v>0</v>
      </c>
      <c r="D3" s="67">
        <v>0</v>
      </c>
      <c r="E3" s="67">
        <v>0</v>
      </c>
      <c r="F3" s="150">
        <v>0</v>
      </c>
      <c r="G3" s="67">
        <f t="shared" ref="G3:G5" si="0">SUM(B3:F3)</f>
        <v>429</v>
      </c>
    </row>
    <row r="4" spans="1:8">
      <c r="A4" s="184" t="str">
        <f>+'3.Pay Level'!A5</f>
        <v>Marshtan</v>
      </c>
      <c r="B4" s="149">
        <f>IF(('3.Pay Level'!Q5*0.075)&gt;=2700,2700,'3.Pay Level'!Q5*0.075)</f>
        <v>429</v>
      </c>
      <c r="C4" s="149">
        <v>0</v>
      </c>
      <c r="D4" s="67">
        <v>0</v>
      </c>
      <c r="E4" s="67">
        <v>0</v>
      </c>
      <c r="F4" s="150">
        <v>0</v>
      </c>
      <c r="G4" s="67">
        <f t="shared" ref="G4" si="1">SUM(B4:F4)</f>
        <v>429</v>
      </c>
    </row>
    <row r="5" spans="1:8">
      <c r="A5" s="184" t="str">
        <f>+'3.Pay Level'!A6</f>
        <v>Ryan</v>
      </c>
      <c r="B5" s="149">
        <f>IF(('3.Pay Level'!Q6*0.075)&gt;=2700,2700,'3.Pay Level'!Q6*0.075)</f>
        <v>429</v>
      </c>
      <c r="C5" s="149">
        <v>0</v>
      </c>
      <c r="D5" s="67">
        <v>0</v>
      </c>
      <c r="E5" s="67">
        <v>0</v>
      </c>
      <c r="F5" s="150">
        <v>0</v>
      </c>
      <c r="G5" s="67">
        <f t="shared" si="0"/>
        <v>429</v>
      </c>
      <c r="H5" s="36"/>
    </row>
    <row r="6" spans="1:8">
      <c r="A6" s="184" t="str">
        <f>+'3.Pay Level'!A7</f>
        <v>Mina Lekka</v>
      </c>
      <c r="B6" s="149">
        <f>IF(('3.Pay Level'!Q7*0.075)&gt;=2700,2700,'3.Pay Level'!Q7*0.075)</f>
        <v>567.07499999999993</v>
      </c>
      <c r="C6" s="149">
        <f>SUM('3.Pay Level'!Q7*0.03)</f>
        <v>226.82999999999998</v>
      </c>
      <c r="D6" s="200"/>
      <c r="E6" s="67">
        <v>580</v>
      </c>
      <c r="F6" s="200">
        <v>130</v>
      </c>
      <c r="G6" s="67">
        <f t="shared" ref="G6:G9" si="2">SUM(B6:F6)</f>
        <v>1503.905</v>
      </c>
      <c r="H6" s="36"/>
    </row>
    <row r="7" spans="1:8">
      <c r="A7" s="184" t="str">
        <f>'3.Pay Level'!A8</f>
        <v>Caren Enlet</v>
      </c>
      <c r="B7" s="149">
        <f>IF(('3.Pay Level'!Q8*0.075)&gt;=2700,2700,'3.Pay Level'!Q8*0.075)</f>
        <v>716.58749999999998</v>
      </c>
      <c r="C7" s="149">
        <f>SUM('3.Pay Level'!Q8*0.03)</f>
        <v>286.63499999999999</v>
      </c>
      <c r="D7" s="67">
        <v>0</v>
      </c>
      <c r="E7" s="67">
        <v>580</v>
      </c>
      <c r="F7" s="150">
        <f>SUM(('3.Pay Level'!Q8*2)*0.00038)*26</f>
        <v>188.79692</v>
      </c>
      <c r="G7" s="67">
        <f t="shared" si="2"/>
        <v>1772.0194199999999</v>
      </c>
      <c r="H7" s="36"/>
    </row>
    <row r="8" spans="1:8">
      <c r="A8" s="184" t="s">
        <v>172</v>
      </c>
      <c r="B8" s="149">
        <f>IF(('3.Pay Level'!Q9*0.075)&gt;=2700,2700,'3.Pay Level'!Q9*0.075)</f>
        <v>429</v>
      </c>
      <c r="C8" s="149">
        <f>SUM('3.Pay Level'!Q9*0.03)</f>
        <v>171.6</v>
      </c>
      <c r="D8" s="67">
        <v>0</v>
      </c>
      <c r="E8" s="67">
        <v>580</v>
      </c>
      <c r="F8" s="150">
        <f>SUM(('3.Pay Level'!Q9*2)*0.00038)*26</f>
        <v>113.02719999999999</v>
      </c>
      <c r="G8" s="67">
        <f t="shared" si="2"/>
        <v>1293.6271999999999</v>
      </c>
      <c r="H8" s="36"/>
    </row>
    <row r="9" spans="1:8">
      <c r="A9" s="184" t="str">
        <f>+'3.Pay Level'!A10</f>
        <v>Arlene Laafal</v>
      </c>
      <c r="B9" s="149">
        <f>IF(('3.Pay Level'!Q10*0.075)&gt;=2700,2700,'3.Pay Level'!Q10*0.075)</f>
        <v>452.17500000000001</v>
      </c>
      <c r="C9" s="149">
        <f>SUM('3.Pay Level'!Q10*0.03)</f>
        <v>180.87</v>
      </c>
      <c r="D9" s="67">
        <v>0</v>
      </c>
      <c r="E9" s="67">
        <v>580</v>
      </c>
      <c r="F9" s="150">
        <f>SUM(('3.Pay Level'!Q10*2)*0.00038)*26</f>
        <v>119.13304000000001</v>
      </c>
      <c r="G9" s="67">
        <f t="shared" si="2"/>
        <v>1332.17804</v>
      </c>
      <c r="H9" s="36"/>
    </row>
    <row r="10" spans="1:8" ht="15.75" thickBot="1">
      <c r="A10" s="2"/>
      <c r="B10" s="62">
        <f>SUM(B2:B9)</f>
        <v>5054.0567307692309</v>
      </c>
      <c r="C10" s="62">
        <f t="shared" ref="C10:G10" si="3">SUM(C2:C9)</f>
        <v>1506.8226923076923</v>
      </c>
      <c r="D10" s="62">
        <f t="shared" si="3"/>
        <v>7200</v>
      </c>
      <c r="E10" s="62">
        <f t="shared" si="3"/>
        <v>3369.3599999999997</v>
      </c>
      <c r="F10" s="62">
        <f t="shared" si="3"/>
        <v>973.08852000000013</v>
      </c>
      <c r="G10" s="62">
        <f t="shared" si="3"/>
        <v>18103.327943076922</v>
      </c>
    </row>
    <row r="11" spans="1:8" ht="15.75" thickTop="1"/>
    <row r="15" spans="1:8">
      <c r="A15" s="5" t="s">
        <v>70</v>
      </c>
    </row>
    <row r="16" spans="1:8">
      <c r="A16" s="6" t="s">
        <v>98</v>
      </c>
    </row>
    <row r="17" spans="1:1">
      <c r="A17" s="6" t="s">
        <v>68</v>
      </c>
    </row>
    <row r="18" spans="1:1">
      <c r="A18" s="6" t="s">
        <v>184</v>
      </c>
    </row>
    <row r="19" spans="1:1">
      <c r="A19" s="6" t="s">
        <v>74</v>
      </c>
    </row>
  </sheetData>
  <dataConsolidate/>
  <phoneticPr fontId="2" type="noConversion"/>
  <pageMargins left="0.7" right="0.7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opLeftCell="A25" workbookViewId="0">
      <selection activeCell="A10" sqref="A10"/>
    </sheetView>
  </sheetViews>
  <sheetFormatPr defaultColWidth="8.85546875" defaultRowHeight="15"/>
  <cols>
    <col min="1" max="1" width="28.28515625" style="6" customWidth="1"/>
    <col min="2" max="2" width="14" style="6" customWidth="1"/>
    <col min="3" max="3" width="16.28515625" style="6" customWidth="1"/>
    <col min="4" max="4" width="17.28515625" style="6" customWidth="1"/>
    <col min="5" max="5" width="11.42578125" style="6" bestFit="1" customWidth="1"/>
    <col min="6" max="6" width="12.7109375" style="46" customWidth="1"/>
    <col min="7" max="7" width="11.42578125" style="6" bestFit="1" customWidth="1"/>
    <col min="8" max="8" width="12.7109375" style="46" customWidth="1"/>
    <col min="9" max="9" width="11.42578125" style="6" bestFit="1" customWidth="1"/>
    <col min="10" max="10" width="12" style="46" bestFit="1" customWidth="1"/>
    <col min="11" max="11" width="11.42578125" style="6" bestFit="1" customWidth="1"/>
    <col min="12" max="12" width="12" style="46" bestFit="1" customWidth="1"/>
    <col min="13" max="13" width="11.42578125" style="6" bestFit="1" customWidth="1"/>
    <col min="14" max="14" width="12" style="46" bestFit="1" customWidth="1"/>
    <col min="15" max="15" width="10.42578125" style="6" bestFit="1" customWidth="1"/>
    <col min="16" max="16" width="12" style="46" bestFit="1" customWidth="1"/>
    <col min="17" max="17" width="8.85546875" style="6"/>
    <col min="18" max="18" width="11.5703125" style="46" bestFit="1" customWidth="1"/>
    <col min="19" max="19" width="8.85546875" style="6"/>
    <col min="20" max="20" width="11.5703125" style="46" bestFit="1" customWidth="1"/>
    <col min="21" max="21" width="8.85546875" style="6"/>
    <col min="22" max="22" width="11.7109375" style="46" customWidth="1"/>
    <col min="23" max="23" width="10" style="6" bestFit="1" customWidth="1"/>
    <col min="24" max="24" width="13.140625" style="6" bestFit="1" customWidth="1"/>
    <col min="25" max="25" width="8.85546875" style="13"/>
    <col min="26" max="26" width="8.85546875" style="6"/>
    <col min="27" max="27" width="11.7109375" style="6" customWidth="1"/>
    <col min="28" max="39" width="8.85546875" style="6"/>
  </cols>
  <sheetData>
    <row r="1" spans="1:27" ht="15.75">
      <c r="A1" s="12" t="s">
        <v>5</v>
      </c>
      <c r="B1" s="7"/>
      <c r="C1" s="7"/>
      <c r="D1" s="8"/>
      <c r="E1" s="8"/>
      <c r="F1" s="63"/>
      <c r="G1" s="8"/>
      <c r="H1" s="63"/>
      <c r="I1" s="8"/>
      <c r="J1" s="63"/>
      <c r="K1" s="8"/>
      <c r="L1" s="63"/>
      <c r="M1" s="8"/>
      <c r="N1" s="63"/>
      <c r="O1" s="8"/>
      <c r="P1" s="63"/>
      <c r="Q1" s="8"/>
      <c r="R1" s="63"/>
      <c r="S1" s="8"/>
      <c r="T1" s="63"/>
      <c r="U1" s="8"/>
      <c r="V1" s="63"/>
      <c r="X1" s="13"/>
    </row>
    <row r="2" spans="1:27">
      <c r="A2" s="14"/>
      <c r="B2" s="15"/>
      <c r="C2" s="16" t="s">
        <v>32</v>
      </c>
      <c r="D2" s="15"/>
      <c r="E2" s="17" t="s">
        <v>7</v>
      </c>
      <c r="F2" s="64">
        <v>1.1000000000000001</v>
      </c>
      <c r="G2" s="17" t="s">
        <v>7</v>
      </c>
      <c r="H2" s="64">
        <v>1.2</v>
      </c>
      <c r="I2" s="17" t="s">
        <v>7</v>
      </c>
      <c r="J2" s="64">
        <v>1.3</v>
      </c>
      <c r="K2" s="17" t="s">
        <v>7</v>
      </c>
      <c r="L2" s="64">
        <v>1.4</v>
      </c>
      <c r="M2" s="17" t="s">
        <v>7</v>
      </c>
      <c r="N2" s="64">
        <v>2.1</v>
      </c>
      <c r="O2" s="17" t="s">
        <v>7</v>
      </c>
      <c r="P2" s="64">
        <v>2.2000000000000002</v>
      </c>
      <c r="Q2" s="17" t="s">
        <v>7</v>
      </c>
      <c r="R2" s="64">
        <v>3.1</v>
      </c>
      <c r="S2" s="17" t="s">
        <v>25</v>
      </c>
      <c r="T2" s="64">
        <v>3.2</v>
      </c>
      <c r="U2" s="17" t="s">
        <v>7</v>
      </c>
      <c r="V2" s="64">
        <v>3.3</v>
      </c>
      <c r="W2" s="19" t="s">
        <v>20</v>
      </c>
      <c r="X2" s="20"/>
    </row>
    <row r="3" spans="1:27">
      <c r="A3" s="21" t="s">
        <v>58</v>
      </c>
      <c r="B3" s="22" t="s">
        <v>52</v>
      </c>
      <c r="C3" s="23" t="s">
        <v>73</v>
      </c>
      <c r="D3" s="24" t="s">
        <v>33</v>
      </c>
      <c r="E3" s="25" t="s">
        <v>59</v>
      </c>
      <c r="F3" s="65" t="s">
        <v>60</v>
      </c>
      <c r="G3" s="25" t="s">
        <v>59</v>
      </c>
      <c r="H3" s="65" t="s">
        <v>60</v>
      </c>
      <c r="I3" s="25" t="s">
        <v>59</v>
      </c>
      <c r="J3" s="65" t="s">
        <v>60</v>
      </c>
      <c r="K3" s="25" t="s">
        <v>59</v>
      </c>
      <c r="L3" s="65" t="s">
        <v>60</v>
      </c>
      <c r="M3" s="25" t="s">
        <v>59</v>
      </c>
      <c r="N3" s="65" t="s">
        <v>60</v>
      </c>
      <c r="O3" s="25" t="s">
        <v>59</v>
      </c>
      <c r="P3" s="65" t="s">
        <v>60</v>
      </c>
      <c r="Q3" s="25" t="s">
        <v>59</v>
      </c>
      <c r="R3" s="65" t="s">
        <v>60</v>
      </c>
      <c r="S3" s="25" t="s">
        <v>59</v>
      </c>
      <c r="T3" s="65" t="s">
        <v>60</v>
      </c>
      <c r="U3" s="25" t="s">
        <v>59</v>
      </c>
      <c r="V3" s="65" t="s">
        <v>60</v>
      </c>
      <c r="W3" s="26" t="s">
        <v>59</v>
      </c>
      <c r="X3" s="73" t="s">
        <v>60</v>
      </c>
    </row>
    <row r="4" spans="1:27">
      <c r="A4" s="6" t="str">
        <f>+'3.Pay Level'!A3</f>
        <v>Elizabeth Layug</v>
      </c>
      <c r="B4" s="53">
        <f>SUM('3.Pay Level'!F3)</f>
        <v>20678</v>
      </c>
      <c r="C4" s="53">
        <f>SUM('3.Pay Level'!Q3)</f>
        <v>21362.923076923078</v>
      </c>
      <c r="D4" s="27">
        <f>C4+'4.Fringe_Benefits'!G2</f>
        <v>32277.521359999999</v>
      </c>
      <c r="E4" s="28">
        <v>15</v>
      </c>
      <c r="F4" s="66">
        <f>SUM(D4*E4%)</f>
        <v>4841.6282039999996</v>
      </c>
      <c r="G4" s="28">
        <v>15</v>
      </c>
      <c r="H4" s="66">
        <f t="shared" ref="H4:H5" si="0">G4*$D4/100</f>
        <v>4841.6282039999996</v>
      </c>
      <c r="I4" s="28">
        <v>10</v>
      </c>
      <c r="J4" s="66">
        <f>I4*$D4/100</f>
        <v>3227.7521360000001</v>
      </c>
      <c r="K4" s="28">
        <v>10</v>
      </c>
      <c r="L4" s="66">
        <f>K4*$D4/100</f>
        <v>3227.7521360000001</v>
      </c>
      <c r="M4" s="28">
        <v>15</v>
      </c>
      <c r="N4" s="66">
        <f>M4*$D4/100</f>
        <v>4841.6282039999996</v>
      </c>
      <c r="O4" s="28">
        <v>20</v>
      </c>
      <c r="P4" s="66">
        <f>O4*$D4/100</f>
        <v>6455.5042720000001</v>
      </c>
      <c r="Q4" s="28">
        <v>5</v>
      </c>
      <c r="R4" s="66">
        <f>Q4*$D4/100</f>
        <v>1613.876068</v>
      </c>
      <c r="S4" s="28">
        <v>5</v>
      </c>
      <c r="T4" s="66">
        <f>S4*$D4/100</f>
        <v>1613.876068</v>
      </c>
      <c r="U4" s="28">
        <v>5</v>
      </c>
      <c r="V4" s="66">
        <f>U4*$D4/100</f>
        <v>1613.876068</v>
      </c>
      <c r="W4" s="29">
        <f>SUM(E4+G4+I4+K4+M4+O4+Q4+S4+U4)</f>
        <v>100</v>
      </c>
      <c r="X4" s="67">
        <f>SUM(F4+H4+J4+L4+N4+P4+R4+T4+V4)</f>
        <v>32277.521360000002</v>
      </c>
    </row>
    <row r="5" spans="1:27">
      <c r="A5" s="6" t="str">
        <f>+'3.Pay Level'!A4</f>
        <v xml:space="preserve">JacyAnn </v>
      </c>
      <c r="B5" s="88">
        <f>SUM('3.Pay Level'!F4)</f>
        <v>5720</v>
      </c>
      <c r="C5" s="88">
        <f>SUM('3.Pay Level'!Q4)</f>
        <v>5720</v>
      </c>
      <c r="D5" s="27">
        <f>C5+'4.Fringe_Benefits'!G3</f>
        <v>6149</v>
      </c>
      <c r="E5" s="28">
        <v>10</v>
      </c>
      <c r="F5" s="66">
        <f>E5*$D5/100</f>
        <v>614.9</v>
      </c>
      <c r="G5" s="28">
        <v>10</v>
      </c>
      <c r="H5" s="66">
        <f t="shared" si="0"/>
        <v>614.9</v>
      </c>
      <c r="I5" s="28">
        <v>25</v>
      </c>
      <c r="J5" s="66">
        <f>I5*$D5/100</f>
        <v>1537.25</v>
      </c>
      <c r="K5" s="28">
        <v>15</v>
      </c>
      <c r="L5" s="66">
        <f>K5*$D5/100</f>
        <v>922.35</v>
      </c>
      <c r="M5" s="28">
        <v>20</v>
      </c>
      <c r="N5" s="66">
        <f>M5*$D5/100</f>
        <v>1229.8</v>
      </c>
      <c r="O5" s="28">
        <v>10</v>
      </c>
      <c r="P5" s="66">
        <f>O5*$D5/100</f>
        <v>614.9</v>
      </c>
      <c r="Q5" s="28">
        <v>5</v>
      </c>
      <c r="R5" s="66">
        <f>Q5*$D5/100</f>
        <v>307.45</v>
      </c>
      <c r="S5" s="28">
        <v>5</v>
      </c>
      <c r="T5" s="66">
        <f>S5*$D5/100</f>
        <v>307.45</v>
      </c>
      <c r="U5" s="28"/>
      <c r="V5" s="66">
        <f>U5*$D5/100</f>
        <v>0</v>
      </c>
      <c r="W5" s="29">
        <f t="shared" ref="W5" si="1">SUM(E5+G5+I5+K5+M5+O5+Q5+S5+U5)</f>
        <v>100</v>
      </c>
      <c r="X5" s="67">
        <f t="shared" ref="X5" si="2">SUM(F5+H5+J5+L5+N5+P5+R5+T5+V5)</f>
        <v>6148.9999999999991</v>
      </c>
    </row>
    <row r="6" spans="1:27">
      <c r="A6" s="6" t="str">
        <f>+'3.Pay Level'!A5</f>
        <v>Marshtan</v>
      </c>
      <c r="B6" s="88">
        <f>SUM('3.Pay Level'!F5)</f>
        <v>5720</v>
      </c>
      <c r="C6" s="88">
        <f>SUM('3.Pay Level'!Q5)</f>
        <v>5720</v>
      </c>
      <c r="D6" s="27">
        <f>C6+'4.Fringe_Benefits'!G4</f>
        <v>6149</v>
      </c>
      <c r="E6" s="28">
        <v>10</v>
      </c>
      <c r="F6" s="66">
        <f>E6*$D6/100</f>
        <v>614.9</v>
      </c>
      <c r="G6" s="28">
        <v>10</v>
      </c>
      <c r="H6" s="66">
        <f t="shared" ref="H6" si="3">G6*$D6/100</f>
        <v>614.9</v>
      </c>
      <c r="I6" s="28">
        <v>25</v>
      </c>
      <c r="J6" s="66">
        <f>I6*$D6/100</f>
        <v>1537.25</v>
      </c>
      <c r="K6" s="28">
        <v>15</v>
      </c>
      <c r="L6" s="66">
        <f>K6*$D6/100</f>
        <v>922.35</v>
      </c>
      <c r="M6" s="28">
        <v>20</v>
      </c>
      <c r="N6" s="66">
        <f>M6*$D6/100</f>
        <v>1229.8</v>
      </c>
      <c r="O6" s="28">
        <v>10</v>
      </c>
      <c r="P6" s="66">
        <f>O6*$D6/100</f>
        <v>614.9</v>
      </c>
      <c r="Q6" s="28">
        <v>5</v>
      </c>
      <c r="R6" s="66">
        <f>Q6*$D6/100</f>
        <v>307.45</v>
      </c>
      <c r="S6" s="28">
        <v>5</v>
      </c>
      <c r="T6" s="66">
        <f>S6*$D6/100</f>
        <v>307.45</v>
      </c>
      <c r="U6" s="28"/>
      <c r="V6" s="66">
        <f>U6*$D6/100</f>
        <v>0</v>
      </c>
      <c r="W6" s="29">
        <f t="shared" ref="W6" si="4">SUM(E6+G6+I6+K6+M6+O6+Q6+S6+U6)</f>
        <v>100</v>
      </c>
      <c r="X6" s="67">
        <f t="shared" ref="X6" si="5">SUM(F6+H6+J6+L6+N6+P6+R6+T6+V6)</f>
        <v>6148.9999999999991</v>
      </c>
    </row>
    <row r="7" spans="1:27">
      <c r="A7" s="6" t="str">
        <f>+'3.Pay Level'!A6</f>
        <v>Ryan</v>
      </c>
      <c r="B7" s="88">
        <f>SUM('3.Pay Level'!F6)</f>
        <v>5720</v>
      </c>
      <c r="C7" s="88">
        <f>SUM('3.Pay Level'!Q6)</f>
        <v>5720</v>
      </c>
      <c r="D7" s="27">
        <f>C7+'4.Fringe_Benefits'!G5</f>
        <v>6149</v>
      </c>
      <c r="E7" s="28">
        <v>10</v>
      </c>
      <c r="F7" s="66">
        <f>E7*$D7/100</f>
        <v>614.9</v>
      </c>
      <c r="G7" s="28">
        <v>10</v>
      </c>
      <c r="H7" s="66">
        <f t="shared" ref="H7" si="6">G7*$D7/100</f>
        <v>614.9</v>
      </c>
      <c r="I7" s="28">
        <v>25</v>
      </c>
      <c r="J7" s="66">
        <f>I7*$D7/100</f>
        <v>1537.25</v>
      </c>
      <c r="K7" s="28">
        <v>15</v>
      </c>
      <c r="L7" s="66">
        <f>K7*$D7/100</f>
        <v>922.35</v>
      </c>
      <c r="M7" s="28">
        <v>20</v>
      </c>
      <c r="N7" s="66">
        <f>M7*$D7/100</f>
        <v>1229.8</v>
      </c>
      <c r="O7" s="28">
        <v>10</v>
      </c>
      <c r="P7" s="66">
        <f>O7*$D7/100</f>
        <v>614.9</v>
      </c>
      <c r="Q7" s="28">
        <v>5</v>
      </c>
      <c r="R7" s="66">
        <f>Q7*$D7/100</f>
        <v>307.45</v>
      </c>
      <c r="S7" s="28">
        <v>5</v>
      </c>
      <c r="T7" s="66">
        <f>S7*$D7/100</f>
        <v>307.45</v>
      </c>
      <c r="U7" s="28"/>
      <c r="V7" s="66">
        <f>U7*$D7/100</f>
        <v>0</v>
      </c>
      <c r="W7" s="29">
        <f t="shared" ref="W7" si="7">SUM(E7+G7+I7+K7+M7+O7+Q7+S7+U7)</f>
        <v>100</v>
      </c>
      <c r="X7" s="67">
        <f t="shared" ref="X7" si="8">SUM(F7+H7+J7+L7+N7+P7+R7+T7+V7)</f>
        <v>6148.9999999999991</v>
      </c>
    </row>
    <row r="8" spans="1:27">
      <c r="A8" s="6" t="str">
        <f>+'3.Pay Level'!A7</f>
        <v>Mina Lekka</v>
      </c>
      <c r="B8" s="88">
        <f>SUM('3.Pay Level'!F7)</f>
        <v>7123</v>
      </c>
      <c r="C8" s="88">
        <f>SUM('3.Pay Level'!Q7)</f>
        <v>7561</v>
      </c>
      <c r="D8" s="27">
        <f>C8+'4.Fringe_Benefits'!G6</f>
        <v>9064.9050000000007</v>
      </c>
      <c r="E8" s="28">
        <v>10</v>
      </c>
      <c r="F8" s="66">
        <f t="shared" ref="F8:F11" si="9">E8*$D8/100</f>
        <v>906.4905</v>
      </c>
      <c r="G8" s="28">
        <v>10</v>
      </c>
      <c r="H8" s="66">
        <f t="shared" ref="H8:H11" si="10">G8*$D8/100</f>
        <v>906.4905</v>
      </c>
      <c r="I8" s="28">
        <v>25</v>
      </c>
      <c r="J8" s="66">
        <f t="shared" ref="J8:J11" si="11">I8*$D8/100</f>
        <v>2266.2262500000002</v>
      </c>
      <c r="K8" s="28">
        <v>15</v>
      </c>
      <c r="L8" s="66">
        <f t="shared" ref="L8:L11" si="12">K8*$D8/100</f>
        <v>1359.7357500000001</v>
      </c>
      <c r="M8" s="28">
        <v>20</v>
      </c>
      <c r="N8" s="66">
        <f t="shared" ref="N8:N11" si="13">M8*$D8/100</f>
        <v>1812.981</v>
      </c>
      <c r="O8" s="28">
        <v>10</v>
      </c>
      <c r="P8" s="66">
        <f t="shared" ref="P8:P11" si="14">O8*$D8/100</f>
        <v>906.4905</v>
      </c>
      <c r="Q8" s="28">
        <v>5</v>
      </c>
      <c r="R8" s="66">
        <f t="shared" ref="R8:R11" si="15">Q8*$D8/100</f>
        <v>453.24525</v>
      </c>
      <c r="S8" s="28">
        <v>5</v>
      </c>
      <c r="T8" s="66">
        <f t="shared" ref="T8:T11" si="16">S8*$D8/100</f>
        <v>453.24525</v>
      </c>
      <c r="U8" s="28"/>
      <c r="V8" s="66">
        <f t="shared" ref="V8:V11" si="17">U8*$D8/100</f>
        <v>0</v>
      </c>
      <c r="W8" s="29">
        <f t="shared" ref="W8:W11" si="18">SUM(E8+G8+I8+K8+M8+O8+Q8+S8+U8)</f>
        <v>100</v>
      </c>
      <c r="X8" s="67">
        <f t="shared" ref="X8:X11" si="19">SUM(F8+H8+J8+L8+N8+P8+R8+T8+V8)</f>
        <v>9064.9050000000007</v>
      </c>
    </row>
    <row r="9" spans="1:27">
      <c r="A9" s="6" t="str">
        <f>+'3.Pay Level'!A8</f>
        <v>Caren Enlet</v>
      </c>
      <c r="B9" s="88">
        <f>SUM('3.Pay Level'!F8)</f>
        <v>9425</v>
      </c>
      <c r="C9" s="88">
        <f>SUM('3.Pay Level'!Q8)</f>
        <v>9554.5</v>
      </c>
      <c r="D9" s="27">
        <f>C9+'4.Fringe_Benefits'!G7</f>
        <v>11326.519420000001</v>
      </c>
      <c r="E9" s="28">
        <v>10</v>
      </c>
      <c r="F9" s="66">
        <f t="shared" si="9"/>
        <v>1132.651942</v>
      </c>
      <c r="G9" s="28">
        <v>10</v>
      </c>
      <c r="H9" s="66">
        <f t="shared" si="10"/>
        <v>1132.651942</v>
      </c>
      <c r="I9" s="28">
        <v>25</v>
      </c>
      <c r="J9" s="66">
        <f t="shared" si="11"/>
        <v>2831.6298550000001</v>
      </c>
      <c r="K9" s="28">
        <v>15</v>
      </c>
      <c r="L9" s="66">
        <f t="shared" si="12"/>
        <v>1698.9779130000002</v>
      </c>
      <c r="M9" s="28">
        <v>20</v>
      </c>
      <c r="N9" s="66">
        <f t="shared" si="13"/>
        <v>2265.3038839999999</v>
      </c>
      <c r="O9" s="28">
        <v>10</v>
      </c>
      <c r="P9" s="66">
        <f t="shared" si="14"/>
        <v>1132.651942</v>
      </c>
      <c r="Q9" s="28">
        <v>5</v>
      </c>
      <c r="R9" s="66">
        <f t="shared" si="15"/>
        <v>566.32597099999998</v>
      </c>
      <c r="S9" s="28">
        <v>5</v>
      </c>
      <c r="T9" s="66">
        <f t="shared" si="16"/>
        <v>566.32597099999998</v>
      </c>
      <c r="U9" s="28"/>
      <c r="V9" s="66">
        <f t="shared" si="17"/>
        <v>0</v>
      </c>
      <c r="W9" s="29">
        <f t="shared" si="18"/>
        <v>100</v>
      </c>
      <c r="X9" s="67">
        <f t="shared" si="19"/>
        <v>11326.519420000001</v>
      </c>
    </row>
    <row r="10" spans="1:27">
      <c r="A10" s="6" t="str">
        <f>+'3.Pay Level'!A9</f>
        <v>Catherine</v>
      </c>
      <c r="B10" s="88">
        <f>SUM('3.Pay Level'!F9)</f>
        <v>5720</v>
      </c>
      <c r="C10" s="88">
        <f>SUM('3.Pay Level'!Q9)</f>
        <v>5720</v>
      </c>
      <c r="D10" s="27">
        <f>C10+'4.Fringe_Benefits'!G8</f>
        <v>7013.6271999999999</v>
      </c>
      <c r="E10" s="28">
        <v>10</v>
      </c>
      <c r="F10" s="66">
        <f t="shared" si="9"/>
        <v>701.36271999999997</v>
      </c>
      <c r="G10" s="28">
        <v>10</v>
      </c>
      <c r="H10" s="66">
        <f t="shared" si="10"/>
        <v>701.36271999999997</v>
      </c>
      <c r="I10" s="28">
        <v>25</v>
      </c>
      <c r="J10" s="66">
        <f t="shared" si="11"/>
        <v>1753.4068</v>
      </c>
      <c r="K10" s="28">
        <v>15</v>
      </c>
      <c r="L10" s="66">
        <f t="shared" si="12"/>
        <v>1052.0440799999999</v>
      </c>
      <c r="M10" s="28">
        <v>20</v>
      </c>
      <c r="N10" s="66">
        <f t="shared" si="13"/>
        <v>1402.7254399999999</v>
      </c>
      <c r="O10" s="28">
        <v>10</v>
      </c>
      <c r="P10" s="66">
        <f t="shared" si="14"/>
        <v>701.36271999999997</v>
      </c>
      <c r="Q10" s="28">
        <v>5</v>
      </c>
      <c r="R10" s="66">
        <f t="shared" si="15"/>
        <v>350.68135999999998</v>
      </c>
      <c r="S10" s="28">
        <v>5</v>
      </c>
      <c r="T10" s="66">
        <f t="shared" si="16"/>
        <v>350.68135999999998</v>
      </c>
      <c r="U10" s="28"/>
      <c r="V10" s="66">
        <f t="shared" si="17"/>
        <v>0</v>
      </c>
      <c r="W10" s="29">
        <f t="shared" si="18"/>
        <v>100</v>
      </c>
      <c r="X10" s="67">
        <f t="shared" si="19"/>
        <v>7013.627199999999</v>
      </c>
    </row>
    <row r="11" spans="1:27">
      <c r="A11" s="6" t="str">
        <f>+'3.Pay Level'!A10</f>
        <v>Arlene Laafal</v>
      </c>
      <c r="B11" s="88">
        <f>SUM('3.Pay Level'!F10)</f>
        <v>5736</v>
      </c>
      <c r="C11" s="88">
        <f>SUM('3.Pay Level'!Q10)</f>
        <v>6029</v>
      </c>
      <c r="D11" s="27">
        <f>C11+'4.Fringe_Benefits'!G9</f>
        <v>7361.1780399999998</v>
      </c>
      <c r="E11" s="28">
        <v>10</v>
      </c>
      <c r="F11" s="66">
        <f t="shared" si="9"/>
        <v>736.11780399999998</v>
      </c>
      <c r="G11" s="28">
        <v>10</v>
      </c>
      <c r="H11" s="66">
        <f t="shared" si="10"/>
        <v>736.11780399999998</v>
      </c>
      <c r="I11" s="28">
        <v>25</v>
      </c>
      <c r="J11" s="66">
        <f t="shared" si="11"/>
        <v>1840.2945099999999</v>
      </c>
      <c r="K11" s="28">
        <v>15</v>
      </c>
      <c r="L11" s="66">
        <f t="shared" si="12"/>
        <v>1104.176706</v>
      </c>
      <c r="M11" s="28">
        <v>20</v>
      </c>
      <c r="N11" s="66">
        <f t="shared" si="13"/>
        <v>1472.235608</v>
      </c>
      <c r="O11" s="28">
        <v>10</v>
      </c>
      <c r="P11" s="66">
        <f t="shared" si="14"/>
        <v>736.11780399999998</v>
      </c>
      <c r="Q11" s="28">
        <v>5</v>
      </c>
      <c r="R11" s="66">
        <f t="shared" si="15"/>
        <v>368.05890199999999</v>
      </c>
      <c r="S11" s="28">
        <v>5</v>
      </c>
      <c r="T11" s="66">
        <f t="shared" si="16"/>
        <v>368.05890199999999</v>
      </c>
      <c r="U11" s="28"/>
      <c r="V11" s="66">
        <f t="shared" si="17"/>
        <v>0</v>
      </c>
      <c r="W11" s="29">
        <f t="shared" si="18"/>
        <v>100</v>
      </c>
      <c r="X11" s="67">
        <f t="shared" si="19"/>
        <v>7361.1780399999989</v>
      </c>
    </row>
    <row r="12" spans="1:27" ht="15.75" thickBot="1">
      <c r="A12" s="55" t="s">
        <v>20</v>
      </c>
      <c r="B12" s="62">
        <f>SUM(B4:B11)</f>
        <v>65842</v>
      </c>
      <c r="C12" s="62">
        <f t="shared" ref="C12:X12" si="20">SUM(C4:C11)</f>
        <v>67387.423076923078</v>
      </c>
      <c r="D12" s="62">
        <f t="shared" si="20"/>
        <v>85490.751019999996</v>
      </c>
      <c r="E12" s="62">
        <f t="shared" si="20"/>
        <v>85</v>
      </c>
      <c r="F12" s="62">
        <f t="shared" si="20"/>
        <v>10162.951169999997</v>
      </c>
      <c r="G12" s="62">
        <f t="shared" si="20"/>
        <v>85</v>
      </c>
      <c r="H12" s="62">
        <f t="shared" si="20"/>
        <v>10162.951169999997</v>
      </c>
      <c r="I12" s="62">
        <f t="shared" si="20"/>
        <v>185</v>
      </c>
      <c r="J12" s="62">
        <f t="shared" si="20"/>
        <v>16531.059551000002</v>
      </c>
      <c r="K12" s="62">
        <f t="shared" si="20"/>
        <v>115</v>
      </c>
      <c r="L12" s="62">
        <f t="shared" si="20"/>
        <v>11209.736585000001</v>
      </c>
      <c r="M12" s="62">
        <f t="shared" si="20"/>
        <v>155</v>
      </c>
      <c r="N12" s="62">
        <f t="shared" si="20"/>
        <v>15484.274136</v>
      </c>
      <c r="O12" s="62">
        <f t="shared" si="20"/>
        <v>90</v>
      </c>
      <c r="P12" s="62">
        <f t="shared" si="20"/>
        <v>11776.827237999998</v>
      </c>
      <c r="Q12" s="62">
        <f t="shared" si="20"/>
        <v>40</v>
      </c>
      <c r="R12" s="62">
        <f t="shared" si="20"/>
        <v>4274.5375510000003</v>
      </c>
      <c r="S12" s="62">
        <f t="shared" si="20"/>
        <v>40</v>
      </c>
      <c r="T12" s="62">
        <f t="shared" si="20"/>
        <v>4274.5375510000003</v>
      </c>
      <c r="U12" s="62">
        <f t="shared" si="20"/>
        <v>5</v>
      </c>
      <c r="V12" s="62">
        <f t="shared" si="20"/>
        <v>1613.876068</v>
      </c>
      <c r="W12" s="62">
        <f t="shared" si="20"/>
        <v>800</v>
      </c>
      <c r="X12" s="62">
        <f t="shared" si="20"/>
        <v>85490.751019999996</v>
      </c>
      <c r="AA12" s="32"/>
    </row>
    <row r="13" spans="1:27" ht="15.75" thickTop="1">
      <c r="A13" s="33"/>
      <c r="B13" s="13"/>
      <c r="C13" s="34"/>
      <c r="D13" s="34"/>
      <c r="E13" s="13"/>
      <c r="F13" s="67"/>
      <c r="G13" s="13"/>
      <c r="H13" s="67"/>
      <c r="I13" s="13"/>
      <c r="J13" s="67"/>
      <c r="K13" s="13"/>
      <c r="L13" s="67"/>
      <c r="M13" s="13"/>
      <c r="N13" s="67"/>
      <c r="O13" s="13"/>
      <c r="P13" s="67"/>
      <c r="Q13" s="13"/>
      <c r="R13" s="67"/>
      <c r="S13" s="13"/>
      <c r="T13" s="67"/>
      <c r="U13" s="13"/>
      <c r="V13" s="67"/>
    </row>
    <row r="14" spans="1:27" ht="15.75">
      <c r="A14" s="12" t="s">
        <v>6</v>
      </c>
      <c r="B14" s="7"/>
      <c r="C14" s="7"/>
      <c r="D14" s="8"/>
      <c r="E14" s="13"/>
      <c r="F14" s="67"/>
      <c r="G14" s="13"/>
      <c r="H14" s="67"/>
      <c r="I14" s="13"/>
      <c r="J14" s="63"/>
      <c r="K14" s="8"/>
      <c r="L14" s="63"/>
      <c r="M14" s="8"/>
      <c r="N14" s="63"/>
      <c r="O14" s="8"/>
      <c r="P14" s="63"/>
      <c r="Q14" s="8"/>
      <c r="R14" s="63"/>
      <c r="S14" s="8"/>
      <c r="T14" s="63"/>
      <c r="U14" s="8"/>
      <c r="V14" s="63"/>
    </row>
    <row r="15" spans="1:27">
      <c r="A15" s="35"/>
      <c r="B15" s="35"/>
      <c r="C15" s="35"/>
      <c r="D15" s="35"/>
      <c r="E15" s="17" t="s">
        <v>7</v>
      </c>
      <c r="F15" s="64">
        <v>1.1000000000000001</v>
      </c>
      <c r="G15" s="17" t="s">
        <v>7</v>
      </c>
      <c r="H15" s="64">
        <v>1.2</v>
      </c>
      <c r="I15" s="17" t="s">
        <v>7</v>
      </c>
      <c r="J15" s="64">
        <v>1.3</v>
      </c>
      <c r="K15" s="17" t="s">
        <v>7</v>
      </c>
      <c r="L15" s="64">
        <v>1.4</v>
      </c>
      <c r="M15" s="17" t="s">
        <v>7</v>
      </c>
      <c r="N15" s="64">
        <v>2.1</v>
      </c>
      <c r="O15" s="17" t="s">
        <v>7</v>
      </c>
      <c r="P15" s="64">
        <v>2.2000000000000002</v>
      </c>
      <c r="Q15" s="17" t="s">
        <v>7</v>
      </c>
      <c r="R15" s="64">
        <v>3.1</v>
      </c>
      <c r="S15" s="17" t="s">
        <v>25</v>
      </c>
      <c r="T15" s="64">
        <v>3.2</v>
      </c>
      <c r="U15" s="17" t="s">
        <v>7</v>
      </c>
      <c r="V15" s="64">
        <v>3.3</v>
      </c>
      <c r="W15" s="19" t="s">
        <v>20</v>
      </c>
      <c r="X15" s="20"/>
    </row>
    <row r="16" spans="1:27">
      <c r="A16" s="18" t="s">
        <v>8</v>
      </c>
      <c r="B16" s="18" t="s">
        <v>45</v>
      </c>
      <c r="C16" s="18" t="s">
        <v>9</v>
      </c>
      <c r="D16" s="18" t="s">
        <v>10</v>
      </c>
      <c r="E16" s="25" t="s">
        <v>59</v>
      </c>
      <c r="F16" s="65" t="s">
        <v>60</v>
      </c>
      <c r="G16" s="25" t="s">
        <v>59</v>
      </c>
      <c r="H16" s="65" t="s">
        <v>60</v>
      </c>
      <c r="I16" s="25" t="s">
        <v>59</v>
      </c>
      <c r="J16" s="65" t="s">
        <v>60</v>
      </c>
      <c r="K16" s="25" t="s">
        <v>59</v>
      </c>
      <c r="L16" s="65" t="s">
        <v>60</v>
      </c>
      <c r="M16" s="25" t="s">
        <v>59</v>
      </c>
      <c r="N16" s="65" t="s">
        <v>60</v>
      </c>
      <c r="O16" s="25" t="s">
        <v>59</v>
      </c>
      <c r="P16" s="65" t="s">
        <v>60</v>
      </c>
      <c r="Q16" s="25" t="s">
        <v>59</v>
      </c>
      <c r="R16" s="65" t="s">
        <v>60</v>
      </c>
      <c r="S16" s="25" t="s">
        <v>59</v>
      </c>
      <c r="T16" s="65" t="s">
        <v>60</v>
      </c>
      <c r="U16" s="25" t="s">
        <v>59</v>
      </c>
      <c r="V16" s="65" t="s">
        <v>60</v>
      </c>
      <c r="W16" s="26" t="s">
        <v>59</v>
      </c>
      <c r="X16" s="73" t="s">
        <v>60</v>
      </c>
    </row>
    <row r="17" spans="1:39" s="10" customFormat="1">
      <c r="A17" s="6" t="s">
        <v>2</v>
      </c>
      <c r="B17" s="36">
        <v>5500</v>
      </c>
      <c r="C17" s="6" t="s">
        <v>43</v>
      </c>
      <c r="D17" s="6"/>
      <c r="E17" s="54">
        <v>0</v>
      </c>
      <c r="F17" s="68">
        <f>E17*$B17/100</f>
        <v>0</v>
      </c>
      <c r="G17" s="54">
        <v>0</v>
      </c>
      <c r="H17" s="68">
        <f>G17*$B17/100</f>
        <v>0</v>
      </c>
      <c r="I17" s="54">
        <v>0</v>
      </c>
      <c r="J17" s="68">
        <f>I17*$B17/100</f>
        <v>0</v>
      </c>
      <c r="K17" s="54">
        <v>0</v>
      </c>
      <c r="L17" s="68">
        <f>K17*$B17/100</f>
        <v>0</v>
      </c>
      <c r="M17" s="54">
        <v>50</v>
      </c>
      <c r="N17" s="68">
        <f>M17*$B17/100</f>
        <v>2750</v>
      </c>
      <c r="O17" s="54">
        <v>50</v>
      </c>
      <c r="P17" s="68">
        <f>O17*$B17/100</f>
        <v>2750</v>
      </c>
      <c r="Q17" s="54">
        <v>0</v>
      </c>
      <c r="R17" s="68">
        <f>Q17*$B17/100</f>
        <v>0</v>
      </c>
      <c r="S17" s="54">
        <v>0</v>
      </c>
      <c r="T17" s="68">
        <f>S17*$B17/100</f>
        <v>0</v>
      </c>
      <c r="U17" s="54">
        <v>0</v>
      </c>
      <c r="V17" s="68">
        <f>U17*$B17/100</f>
        <v>0</v>
      </c>
      <c r="W17" s="29">
        <f t="shared" ref="W17:W20" si="21">SUM(E17+G17+I17+K17+M17+O17+Q17+S17+U17)</f>
        <v>100</v>
      </c>
      <c r="X17" s="67">
        <f t="shared" ref="X17:X20" si="22">SUM(F17+H17+J17+L17+N17+P17+R17+T17+V17)</f>
        <v>5500</v>
      </c>
      <c r="Y17" s="13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10" customFormat="1">
      <c r="A18" s="6" t="s">
        <v>3</v>
      </c>
      <c r="B18" s="36">
        <v>2500</v>
      </c>
      <c r="C18" s="6" t="s">
        <v>4</v>
      </c>
      <c r="D18" s="6"/>
      <c r="E18" s="54">
        <v>0</v>
      </c>
      <c r="F18" s="68">
        <f>E18*$B18/100</f>
        <v>0</v>
      </c>
      <c r="G18" s="54">
        <v>0</v>
      </c>
      <c r="H18" s="68">
        <f>G18*$B18/100</f>
        <v>0</v>
      </c>
      <c r="I18" s="54">
        <v>0</v>
      </c>
      <c r="J18" s="68">
        <f>I18*$B18/100</f>
        <v>0</v>
      </c>
      <c r="K18" s="54">
        <v>0</v>
      </c>
      <c r="L18" s="68">
        <f>K18*$B18/100</f>
        <v>0</v>
      </c>
      <c r="M18" s="54">
        <v>50</v>
      </c>
      <c r="N18" s="68">
        <f>M18*$B18/100</f>
        <v>1250</v>
      </c>
      <c r="O18" s="54">
        <v>50</v>
      </c>
      <c r="P18" s="68">
        <f>O18*$B18/100</f>
        <v>1250</v>
      </c>
      <c r="Q18" s="54">
        <v>0</v>
      </c>
      <c r="R18" s="68">
        <f>Q18*$B18/100</f>
        <v>0</v>
      </c>
      <c r="S18" s="54">
        <v>0</v>
      </c>
      <c r="T18" s="68">
        <f>S18*$B18/100</f>
        <v>0</v>
      </c>
      <c r="U18" s="54">
        <v>0</v>
      </c>
      <c r="V18" s="68">
        <f>U18*$B18/100</f>
        <v>0</v>
      </c>
      <c r="W18" s="29">
        <f t="shared" si="21"/>
        <v>100</v>
      </c>
      <c r="X18" s="67">
        <f t="shared" si="22"/>
        <v>2500</v>
      </c>
      <c r="Y18" s="13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s="10" customFormat="1">
      <c r="A19" s="6" t="s">
        <v>90</v>
      </c>
      <c r="B19" s="36">
        <v>5000</v>
      </c>
      <c r="C19" s="6" t="s">
        <v>4</v>
      </c>
      <c r="D19" s="6"/>
      <c r="E19" s="54">
        <v>0</v>
      </c>
      <c r="F19" s="68">
        <f>E19*$B19/100</f>
        <v>0</v>
      </c>
      <c r="G19" s="54">
        <v>0</v>
      </c>
      <c r="H19" s="68">
        <f>G19*$B19/100</f>
        <v>0</v>
      </c>
      <c r="I19" s="54">
        <v>0</v>
      </c>
      <c r="J19" s="68">
        <f>I19*$B19/100</f>
        <v>0</v>
      </c>
      <c r="K19" s="54">
        <v>0</v>
      </c>
      <c r="L19" s="68">
        <f>K19*$B19/100</f>
        <v>0</v>
      </c>
      <c r="M19" s="54">
        <v>0</v>
      </c>
      <c r="N19" s="68">
        <f>M19*$B19/100</f>
        <v>0</v>
      </c>
      <c r="O19" s="54">
        <v>0</v>
      </c>
      <c r="P19" s="68">
        <f>O19*$B19/100</f>
        <v>0</v>
      </c>
      <c r="Q19" s="54">
        <v>50</v>
      </c>
      <c r="R19" s="68">
        <f>Q19*$B19/100</f>
        <v>2500</v>
      </c>
      <c r="S19" s="54"/>
      <c r="T19" s="68">
        <f>S19*$B19/100</f>
        <v>0</v>
      </c>
      <c r="U19" s="54">
        <v>50</v>
      </c>
      <c r="V19" s="68">
        <f>U19*$B19/100</f>
        <v>2500</v>
      </c>
      <c r="W19" s="29">
        <f t="shared" si="21"/>
        <v>100</v>
      </c>
      <c r="X19" s="67">
        <f t="shared" si="22"/>
        <v>5000</v>
      </c>
      <c r="Y19" s="13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10" customFormat="1" ht="15.75" thickBot="1">
      <c r="A20" s="30" t="s">
        <v>20</v>
      </c>
      <c r="B20" s="37">
        <f>SUM(B17:B19)</f>
        <v>13000</v>
      </c>
      <c r="C20" s="38"/>
      <c r="D20" s="39"/>
      <c r="E20" s="40"/>
      <c r="F20" s="31">
        <f t="shared" ref="F20:P20" si="23">SUM(F17:F19)</f>
        <v>0</v>
      </c>
      <c r="G20" s="40">
        <f t="shared" si="23"/>
        <v>0</v>
      </c>
      <c r="H20" s="31">
        <f t="shared" si="23"/>
        <v>0</v>
      </c>
      <c r="I20" s="40">
        <f t="shared" si="23"/>
        <v>0</v>
      </c>
      <c r="J20" s="31">
        <f t="shared" si="23"/>
        <v>0</v>
      </c>
      <c r="K20" s="40">
        <f t="shared" si="23"/>
        <v>0</v>
      </c>
      <c r="L20" s="31">
        <f t="shared" si="23"/>
        <v>0</v>
      </c>
      <c r="M20" s="40">
        <f t="shared" si="23"/>
        <v>100</v>
      </c>
      <c r="N20" s="31">
        <f t="shared" si="23"/>
        <v>4000</v>
      </c>
      <c r="O20" s="40">
        <f t="shared" si="23"/>
        <v>100</v>
      </c>
      <c r="P20" s="31">
        <f t="shared" si="23"/>
        <v>4000</v>
      </c>
      <c r="Q20" s="40">
        <f t="shared" ref="Q20:V20" si="24">SUM(Q17:Q19)</f>
        <v>50</v>
      </c>
      <c r="R20" s="31">
        <f t="shared" si="24"/>
        <v>2500</v>
      </c>
      <c r="S20" s="40">
        <f t="shared" si="24"/>
        <v>0</v>
      </c>
      <c r="T20" s="31">
        <f t="shared" si="24"/>
        <v>0</v>
      </c>
      <c r="U20" s="40">
        <f t="shared" si="24"/>
        <v>50</v>
      </c>
      <c r="V20" s="31">
        <f t="shared" si="24"/>
        <v>2500</v>
      </c>
      <c r="W20" s="29">
        <f t="shared" si="21"/>
        <v>300</v>
      </c>
      <c r="X20" s="67">
        <f t="shared" si="22"/>
        <v>13000</v>
      </c>
      <c r="Y20" s="13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5.75" thickTop="1"/>
    <row r="22" spans="1:39" s="1" customFormat="1" ht="15.75">
      <c r="A22" s="41" t="s">
        <v>11</v>
      </c>
      <c r="B22" s="42"/>
      <c r="C22" s="42"/>
      <c r="D22" s="43"/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6"/>
      <c r="U22" s="43"/>
      <c r="V22" s="46"/>
      <c r="W22" s="43"/>
      <c r="X22" s="43"/>
      <c r="Y22" s="75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1:39">
      <c r="A23" s="44"/>
      <c r="B23" s="44"/>
      <c r="C23" s="44"/>
      <c r="D23" s="17"/>
      <c r="E23" s="17" t="s">
        <v>7</v>
      </c>
      <c r="F23" s="64">
        <v>1.1000000000000001</v>
      </c>
      <c r="G23" s="17" t="s">
        <v>7</v>
      </c>
      <c r="H23" s="64">
        <v>1.2</v>
      </c>
      <c r="I23" s="17" t="s">
        <v>7</v>
      </c>
      <c r="J23" s="64">
        <v>1.3</v>
      </c>
      <c r="K23" s="17" t="s">
        <v>7</v>
      </c>
      <c r="L23" s="64">
        <v>1.4</v>
      </c>
      <c r="M23" s="17" t="s">
        <v>7</v>
      </c>
      <c r="N23" s="64">
        <v>2.1</v>
      </c>
      <c r="O23" s="17" t="s">
        <v>7</v>
      </c>
      <c r="P23" s="64">
        <v>2.2000000000000002</v>
      </c>
      <c r="Q23" s="17" t="s">
        <v>7</v>
      </c>
      <c r="R23" s="64">
        <v>3.1</v>
      </c>
      <c r="S23" s="17" t="s">
        <v>25</v>
      </c>
      <c r="T23" s="64">
        <v>3.2</v>
      </c>
      <c r="U23" s="17" t="s">
        <v>7</v>
      </c>
      <c r="V23" s="64">
        <v>3.3</v>
      </c>
      <c r="W23" s="19" t="s">
        <v>20</v>
      </c>
      <c r="X23" s="20"/>
    </row>
    <row r="24" spans="1:39">
      <c r="A24" s="18" t="s">
        <v>12</v>
      </c>
      <c r="B24" s="18" t="s">
        <v>85</v>
      </c>
      <c r="C24" s="18" t="s">
        <v>14</v>
      </c>
      <c r="D24" s="25"/>
      <c r="E24" s="25" t="s">
        <v>59</v>
      </c>
      <c r="F24" s="65" t="s">
        <v>60</v>
      </c>
      <c r="G24" s="25" t="s">
        <v>59</v>
      </c>
      <c r="H24" s="65" t="s">
        <v>60</v>
      </c>
      <c r="I24" s="25" t="s">
        <v>59</v>
      </c>
      <c r="J24" s="65" t="s">
        <v>60</v>
      </c>
      <c r="K24" s="25" t="s">
        <v>59</v>
      </c>
      <c r="L24" s="65" t="s">
        <v>60</v>
      </c>
      <c r="M24" s="25" t="s">
        <v>59</v>
      </c>
      <c r="N24" s="65" t="s">
        <v>60</v>
      </c>
      <c r="O24" s="25" t="s">
        <v>59</v>
      </c>
      <c r="P24" s="65" t="s">
        <v>60</v>
      </c>
      <c r="Q24" s="25" t="s">
        <v>59</v>
      </c>
      <c r="R24" s="65" t="s">
        <v>60</v>
      </c>
      <c r="S24" s="25" t="s">
        <v>59</v>
      </c>
      <c r="T24" s="65" t="s">
        <v>60</v>
      </c>
      <c r="U24" s="25" t="s">
        <v>59</v>
      </c>
      <c r="V24" s="65" t="s">
        <v>60</v>
      </c>
      <c r="W24" s="26" t="s">
        <v>59</v>
      </c>
      <c r="X24" s="73" t="s">
        <v>60</v>
      </c>
    </row>
    <row r="25" spans="1:39" s="10" customFormat="1">
      <c r="A25" s="52" t="s">
        <v>0</v>
      </c>
      <c r="B25" s="53">
        <v>0</v>
      </c>
      <c r="C25" s="53" t="s">
        <v>1</v>
      </c>
      <c r="D25" s="27" t="s">
        <v>1</v>
      </c>
      <c r="E25" s="54"/>
      <c r="F25" s="68">
        <f>E25*$B25/100</f>
        <v>0</v>
      </c>
      <c r="G25" s="54"/>
      <c r="H25" s="68">
        <f>G25*$B25/100</f>
        <v>0</v>
      </c>
      <c r="I25" s="54">
        <v>50</v>
      </c>
      <c r="J25" s="68">
        <f>I25*$B25/100</f>
        <v>0</v>
      </c>
      <c r="K25" s="54">
        <v>0</v>
      </c>
      <c r="L25" s="68">
        <f>K25*$B25/100</f>
        <v>0</v>
      </c>
      <c r="M25" s="54">
        <v>0</v>
      </c>
      <c r="N25" s="68">
        <f>M25*$B25/100</f>
        <v>0</v>
      </c>
      <c r="O25" s="54">
        <v>50</v>
      </c>
      <c r="P25" s="68">
        <f>O25*$B25/100</f>
        <v>0</v>
      </c>
      <c r="Q25" s="54">
        <v>0</v>
      </c>
      <c r="R25" s="68">
        <f>Q25*$B25/100</f>
        <v>0</v>
      </c>
      <c r="S25" s="54">
        <v>0</v>
      </c>
      <c r="T25" s="68">
        <f>S25*$B25/100</f>
        <v>0</v>
      </c>
      <c r="U25" s="54">
        <v>0</v>
      </c>
      <c r="V25" s="68">
        <f>U25*$B25/100</f>
        <v>0</v>
      </c>
      <c r="W25" s="29">
        <f t="shared" ref="W25:W26" si="25">SUM(E25+G25+I25+K25+M25+O25+Q25+S25+U25)</f>
        <v>100</v>
      </c>
      <c r="X25" s="67">
        <f t="shared" ref="X25:X26" si="26">SUM(F25+H25+J25+L25+N25+P25+R25+T25+V25)</f>
        <v>0</v>
      </c>
      <c r="Y25" s="13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10" customFormat="1">
      <c r="A26" s="52" t="s">
        <v>89</v>
      </c>
      <c r="B26" s="53">
        <v>0</v>
      </c>
      <c r="C26" s="53" t="s">
        <v>1</v>
      </c>
      <c r="D26" s="27" t="s">
        <v>1</v>
      </c>
      <c r="E26" s="54">
        <v>0</v>
      </c>
      <c r="F26" s="68">
        <f>E26*$B26/100</f>
        <v>0</v>
      </c>
      <c r="G26" s="54">
        <v>0</v>
      </c>
      <c r="H26" s="68">
        <f>G26*$B26/100</f>
        <v>0</v>
      </c>
      <c r="I26" s="54">
        <v>0</v>
      </c>
      <c r="J26" s="68">
        <f>I26*$B26/100</f>
        <v>0</v>
      </c>
      <c r="K26" s="54">
        <v>0</v>
      </c>
      <c r="L26" s="68">
        <v>0</v>
      </c>
      <c r="M26" s="54">
        <v>0</v>
      </c>
      <c r="N26" s="68">
        <f>M26*$B26/100</f>
        <v>0</v>
      </c>
      <c r="O26" s="54">
        <v>0</v>
      </c>
      <c r="P26" s="68">
        <f>O26*$B26/100</f>
        <v>0</v>
      </c>
      <c r="Q26" s="54">
        <v>0</v>
      </c>
      <c r="R26" s="68">
        <f>Q26*$B26/100</f>
        <v>0</v>
      </c>
      <c r="S26" s="54">
        <v>0</v>
      </c>
      <c r="T26" s="68">
        <f>S26*$B26/100</f>
        <v>0</v>
      </c>
      <c r="U26" s="54">
        <v>0</v>
      </c>
      <c r="V26" s="68">
        <f>U26*$B26/100</f>
        <v>0</v>
      </c>
      <c r="W26" s="29">
        <f t="shared" si="25"/>
        <v>0</v>
      </c>
      <c r="X26" s="67">
        <f t="shared" si="26"/>
        <v>0</v>
      </c>
      <c r="Y26" s="13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s="10" customFormat="1" ht="15.75" thickBot="1">
      <c r="A27" s="55" t="s">
        <v>20</v>
      </c>
      <c r="B27" s="61">
        <f>SUM(B25:B26)</f>
        <v>0</v>
      </c>
      <c r="C27" s="60"/>
      <c r="D27" s="57"/>
      <c r="E27" s="57"/>
      <c r="F27" s="59">
        <f>SUM(F25:F26)</f>
        <v>0</v>
      </c>
      <c r="G27" s="57" t="s">
        <v>86</v>
      </c>
      <c r="H27" s="59">
        <f>SUM(H25:H26)</f>
        <v>0</v>
      </c>
      <c r="I27" s="57" t="s">
        <v>86</v>
      </c>
      <c r="J27" s="59">
        <f>SUM(J25:J26)</f>
        <v>0</v>
      </c>
      <c r="K27" s="57" t="s">
        <v>86</v>
      </c>
      <c r="L27" s="59">
        <f>SUM(L25:L26)</f>
        <v>0</v>
      </c>
      <c r="M27" s="57" t="s">
        <v>86</v>
      </c>
      <c r="N27" s="59">
        <f>SUM(N25:N26)</f>
        <v>0</v>
      </c>
      <c r="O27" s="57" t="s">
        <v>87</v>
      </c>
      <c r="P27" s="59">
        <f>SUM(P25:P26)</f>
        <v>0</v>
      </c>
      <c r="Q27" s="57" t="s">
        <v>86</v>
      </c>
      <c r="R27" s="59">
        <f>SUM(R25:R26)</f>
        <v>0</v>
      </c>
      <c r="S27" s="57" t="s">
        <v>86</v>
      </c>
      <c r="T27" s="59">
        <f>SUM(T25:T26)</f>
        <v>0</v>
      </c>
      <c r="U27" s="57" t="s">
        <v>88</v>
      </c>
      <c r="V27" s="59">
        <f>SUM(V25:V26)</f>
        <v>0</v>
      </c>
      <c r="W27" s="58"/>
      <c r="X27" s="74">
        <f>SUM(X25:X26)</f>
        <v>0</v>
      </c>
      <c r="Y27" s="13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5.75" thickTop="1"/>
    <row r="29" spans="1:39" ht="15.75">
      <c r="A29" s="45" t="s">
        <v>13</v>
      </c>
      <c r="B29" s="5"/>
      <c r="C29" s="5"/>
    </row>
    <row r="30" spans="1:39">
      <c r="A30" s="44"/>
      <c r="B30" s="44"/>
      <c r="C30" s="44"/>
      <c r="D30" s="17"/>
      <c r="E30" s="17" t="s">
        <v>7</v>
      </c>
      <c r="F30" s="64">
        <v>1.1000000000000001</v>
      </c>
      <c r="G30" s="17" t="s">
        <v>7</v>
      </c>
      <c r="H30" s="64">
        <v>1.2</v>
      </c>
      <c r="I30" s="17" t="s">
        <v>7</v>
      </c>
      <c r="J30" s="64">
        <v>1.3</v>
      </c>
      <c r="K30" s="17" t="s">
        <v>7</v>
      </c>
      <c r="L30" s="64">
        <v>1.4</v>
      </c>
      <c r="M30" s="17" t="s">
        <v>7</v>
      </c>
      <c r="N30" s="64">
        <v>2.1</v>
      </c>
      <c r="O30" s="17" t="s">
        <v>7</v>
      </c>
      <c r="P30" s="64">
        <v>2.2000000000000002</v>
      </c>
      <c r="Q30" s="17" t="s">
        <v>7</v>
      </c>
      <c r="R30" s="64">
        <v>3.1</v>
      </c>
      <c r="S30" s="17" t="s">
        <v>25</v>
      </c>
      <c r="T30" s="64">
        <v>3.2</v>
      </c>
      <c r="U30" s="17" t="s">
        <v>7</v>
      </c>
      <c r="V30" s="64">
        <v>3.3</v>
      </c>
      <c r="W30" s="19" t="s">
        <v>20</v>
      </c>
      <c r="X30" s="20"/>
    </row>
    <row r="31" spans="1:39">
      <c r="A31" s="18" t="s">
        <v>12</v>
      </c>
      <c r="B31" s="18" t="s">
        <v>48</v>
      </c>
      <c r="C31" s="18"/>
      <c r="D31" s="25"/>
      <c r="E31" s="25" t="s">
        <v>59</v>
      </c>
      <c r="F31" s="65" t="s">
        <v>60</v>
      </c>
      <c r="G31" s="25" t="s">
        <v>59</v>
      </c>
      <c r="H31" s="65" t="s">
        <v>60</v>
      </c>
      <c r="I31" s="25" t="s">
        <v>59</v>
      </c>
      <c r="J31" s="65" t="s">
        <v>60</v>
      </c>
      <c r="K31" s="25" t="s">
        <v>59</v>
      </c>
      <c r="L31" s="65" t="s">
        <v>60</v>
      </c>
      <c r="M31" s="25" t="s">
        <v>59</v>
      </c>
      <c r="N31" s="65" t="s">
        <v>60</v>
      </c>
      <c r="O31" s="25" t="s">
        <v>59</v>
      </c>
      <c r="P31" s="65" t="s">
        <v>60</v>
      </c>
      <c r="Q31" s="25" t="s">
        <v>59</v>
      </c>
      <c r="R31" s="65" t="s">
        <v>60</v>
      </c>
      <c r="S31" s="25" t="s">
        <v>59</v>
      </c>
      <c r="T31" s="65" t="s">
        <v>60</v>
      </c>
      <c r="U31" s="25" t="s">
        <v>59</v>
      </c>
      <c r="V31" s="65" t="s">
        <v>60</v>
      </c>
      <c r="W31" s="26" t="s">
        <v>59</v>
      </c>
      <c r="X31" s="73" t="s">
        <v>60</v>
      </c>
    </row>
    <row r="32" spans="1:39">
      <c r="A32" s="6" t="s">
        <v>77</v>
      </c>
      <c r="B32" s="46">
        <v>500</v>
      </c>
      <c r="C32" s="46"/>
      <c r="D32" s="28"/>
      <c r="E32" s="54"/>
      <c r="F32" s="68">
        <f>E32*$B32/100</f>
        <v>0</v>
      </c>
      <c r="G32" s="54"/>
      <c r="H32" s="68">
        <f>G32*$B32/100</f>
        <v>0</v>
      </c>
      <c r="I32" s="54">
        <v>50</v>
      </c>
      <c r="J32" s="68">
        <f>I32*$B32/100</f>
        <v>250</v>
      </c>
      <c r="K32" s="54"/>
      <c r="L32" s="68">
        <f>K32*$B32/100</f>
        <v>0</v>
      </c>
      <c r="M32" s="54"/>
      <c r="N32" s="68">
        <f>M32*$B32/100</f>
        <v>0</v>
      </c>
      <c r="O32" s="54">
        <v>50</v>
      </c>
      <c r="P32" s="68">
        <f>O32*$B32/100</f>
        <v>250</v>
      </c>
      <c r="Q32" s="54">
        <v>0</v>
      </c>
      <c r="R32" s="68">
        <f>Q32*$B32/100</f>
        <v>0</v>
      </c>
      <c r="S32" s="54">
        <v>0</v>
      </c>
      <c r="T32" s="68">
        <f>S32*$B32/100</f>
        <v>0</v>
      </c>
      <c r="U32" s="54">
        <v>0</v>
      </c>
      <c r="V32" s="68">
        <f>U32*$B32/100</f>
        <v>0</v>
      </c>
      <c r="W32" s="29">
        <f t="shared" ref="W32:W36" si="27">SUM(E32+G32+I32+K32+M32+O32+Q32+S32+U32)</f>
        <v>100</v>
      </c>
      <c r="X32" s="67">
        <f t="shared" ref="X32:X36" si="28">SUM(F32+H32+J32+L32+N32+P32+R32+T32+V32)</f>
        <v>500</v>
      </c>
    </row>
    <row r="33" spans="1:39">
      <c r="A33" s="6" t="s">
        <v>78</v>
      </c>
      <c r="B33" s="46">
        <v>0</v>
      </c>
      <c r="C33" s="46"/>
      <c r="D33" s="28"/>
      <c r="E33" s="54">
        <v>10</v>
      </c>
      <c r="F33" s="68">
        <f>E33*$B33/100</f>
        <v>0</v>
      </c>
      <c r="G33" s="54">
        <v>10</v>
      </c>
      <c r="H33" s="68">
        <f>G33*$B33/100</f>
        <v>0</v>
      </c>
      <c r="I33" s="54">
        <v>10</v>
      </c>
      <c r="J33" s="68">
        <f>I33*$B33/100</f>
        <v>0</v>
      </c>
      <c r="K33" s="54"/>
      <c r="L33" s="68">
        <f>K33*$B33/100</f>
        <v>0</v>
      </c>
      <c r="M33" s="54">
        <v>20</v>
      </c>
      <c r="N33" s="68">
        <f>M33*$B33/100</f>
        <v>0</v>
      </c>
      <c r="O33" s="54">
        <v>20</v>
      </c>
      <c r="P33" s="68">
        <f>O33*$B33/100</f>
        <v>0</v>
      </c>
      <c r="Q33" s="54">
        <v>0</v>
      </c>
      <c r="R33" s="68">
        <f t="shared" ref="R33:R35" si="29">Q33*$B33/100</f>
        <v>0</v>
      </c>
      <c r="S33" s="54">
        <v>30</v>
      </c>
      <c r="T33" s="68">
        <f t="shared" ref="T33:T35" si="30">S33*$B33/100</f>
        <v>0</v>
      </c>
      <c r="U33" s="54">
        <v>0</v>
      </c>
      <c r="V33" s="68">
        <f t="shared" ref="V33:V35" si="31">U33*$B33/100</f>
        <v>0</v>
      </c>
      <c r="W33" s="29">
        <f t="shared" si="27"/>
        <v>100</v>
      </c>
      <c r="X33" s="67">
        <f t="shared" si="28"/>
        <v>0</v>
      </c>
    </row>
    <row r="34" spans="1:39">
      <c r="A34" s="6" t="s">
        <v>79</v>
      </c>
      <c r="B34" s="46">
        <v>7000</v>
      </c>
      <c r="C34" s="46"/>
      <c r="D34" s="28"/>
      <c r="E34" s="54">
        <v>10</v>
      </c>
      <c r="F34" s="68">
        <f>E34*$B34/100</f>
        <v>700</v>
      </c>
      <c r="G34" s="54">
        <v>10</v>
      </c>
      <c r="H34" s="68">
        <f>G34*$B34/100</f>
        <v>700</v>
      </c>
      <c r="I34" s="54">
        <v>10</v>
      </c>
      <c r="J34" s="68">
        <f>I34*$B34/100</f>
        <v>700</v>
      </c>
      <c r="K34" s="54">
        <v>10</v>
      </c>
      <c r="L34" s="68">
        <f>K34*$B34/100</f>
        <v>700</v>
      </c>
      <c r="M34" s="54">
        <v>10</v>
      </c>
      <c r="N34" s="68">
        <f>M34*$B34/100</f>
        <v>700</v>
      </c>
      <c r="O34" s="54">
        <v>10</v>
      </c>
      <c r="P34" s="68">
        <f>O34*$B34/100</f>
        <v>700</v>
      </c>
      <c r="Q34" s="54">
        <v>10</v>
      </c>
      <c r="R34" s="68">
        <f t="shared" si="29"/>
        <v>700</v>
      </c>
      <c r="S34" s="54">
        <v>20</v>
      </c>
      <c r="T34" s="68">
        <f t="shared" si="30"/>
        <v>1400</v>
      </c>
      <c r="U34" s="54">
        <v>10</v>
      </c>
      <c r="V34" s="68">
        <f t="shared" si="31"/>
        <v>700</v>
      </c>
      <c r="W34" s="29">
        <f t="shared" si="27"/>
        <v>100</v>
      </c>
      <c r="X34" s="67">
        <f t="shared" si="28"/>
        <v>7000</v>
      </c>
    </row>
    <row r="35" spans="1:39">
      <c r="A35" s="6" t="s">
        <v>91</v>
      </c>
      <c r="B35" s="47">
        <f>+[2]just!$C$25</f>
        <v>500</v>
      </c>
      <c r="C35" s="47"/>
      <c r="D35" s="28"/>
      <c r="E35" s="54"/>
      <c r="F35" s="68">
        <f>E35*$B35/100</f>
        <v>0</v>
      </c>
      <c r="G35" s="54"/>
      <c r="H35" s="68">
        <f>G35*$B35/100</f>
        <v>0</v>
      </c>
      <c r="I35" s="54"/>
      <c r="J35" s="68">
        <f>I35*$B35/100</f>
        <v>0</v>
      </c>
      <c r="K35" s="54"/>
      <c r="L35" s="68">
        <f>K35*$B35/100</f>
        <v>0</v>
      </c>
      <c r="M35" s="54"/>
      <c r="N35" s="68">
        <f>M35*$B35/100</f>
        <v>0</v>
      </c>
      <c r="O35" s="54"/>
      <c r="P35" s="68">
        <f>O35*$B35/100</f>
        <v>0</v>
      </c>
      <c r="Q35" s="54">
        <v>0</v>
      </c>
      <c r="R35" s="68">
        <f t="shared" si="29"/>
        <v>0</v>
      </c>
      <c r="S35" s="54">
        <v>0</v>
      </c>
      <c r="T35" s="68">
        <f t="shared" si="30"/>
        <v>0</v>
      </c>
      <c r="U35" s="54">
        <v>100</v>
      </c>
      <c r="V35" s="68">
        <f t="shared" si="31"/>
        <v>500</v>
      </c>
      <c r="W35" s="29">
        <f t="shared" si="27"/>
        <v>100</v>
      </c>
      <c r="X35" s="67">
        <f t="shared" si="28"/>
        <v>500</v>
      </c>
    </row>
    <row r="36" spans="1:39">
      <c r="A36" s="6" t="s">
        <v>163</v>
      </c>
      <c r="B36" s="47">
        <v>5000</v>
      </c>
      <c r="C36" s="47"/>
      <c r="D36" s="28"/>
      <c r="E36" s="54">
        <v>0</v>
      </c>
      <c r="F36" s="68">
        <f>E36*$B36/100</f>
        <v>0</v>
      </c>
      <c r="G36" s="54">
        <v>0</v>
      </c>
      <c r="H36" s="68">
        <f>G36*$B36/100</f>
        <v>0</v>
      </c>
      <c r="I36" s="54">
        <v>0</v>
      </c>
      <c r="J36" s="68">
        <f>I36*$B36/100</f>
        <v>0</v>
      </c>
      <c r="K36" s="54">
        <v>0</v>
      </c>
      <c r="L36" s="68">
        <f>K36*$B36/100</f>
        <v>0</v>
      </c>
      <c r="M36" s="54">
        <v>0</v>
      </c>
      <c r="N36" s="68">
        <f>M36*$B36/100</f>
        <v>0</v>
      </c>
      <c r="O36" s="54">
        <v>0</v>
      </c>
      <c r="P36" s="68">
        <f>O36*$B36/100</f>
        <v>0</v>
      </c>
      <c r="Q36" s="54">
        <v>0</v>
      </c>
      <c r="R36" s="68">
        <f>Q36*$B36/100</f>
        <v>0</v>
      </c>
      <c r="S36" s="54">
        <v>100</v>
      </c>
      <c r="T36" s="68">
        <f>S36*$B36/100</f>
        <v>5000</v>
      </c>
      <c r="U36" s="54">
        <v>0</v>
      </c>
      <c r="V36" s="68">
        <f>U36*$B36/100</f>
        <v>0</v>
      </c>
      <c r="W36" s="29">
        <f t="shared" si="27"/>
        <v>100</v>
      </c>
      <c r="X36" s="67">
        <f t="shared" si="28"/>
        <v>5000</v>
      </c>
    </row>
    <row r="37" spans="1:39" ht="15.75" thickBot="1">
      <c r="A37" s="55" t="s">
        <v>20</v>
      </c>
      <c r="B37" s="72">
        <f>SUM(B32:B36)</f>
        <v>13000</v>
      </c>
      <c r="C37" s="56"/>
      <c r="D37" s="57"/>
      <c r="E37" s="57"/>
      <c r="F37" s="59">
        <f>SUM(F32:F36)</f>
        <v>700</v>
      </c>
      <c r="G37" s="57" t="s">
        <v>24</v>
      </c>
      <c r="H37" s="59">
        <f>SUM(H32:H36)</f>
        <v>700</v>
      </c>
      <c r="I37" s="57" t="s">
        <v>24</v>
      </c>
      <c r="J37" s="59">
        <f>SUM(J32:J36)</f>
        <v>950</v>
      </c>
      <c r="K37" s="57" t="s">
        <v>24</v>
      </c>
      <c r="L37" s="59">
        <f>SUM(L32:L36)</f>
        <v>700</v>
      </c>
      <c r="M37" s="57" t="s">
        <v>24</v>
      </c>
      <c r="N37" s="59">
        <f>SUM(N32:N36)</f>
        <v>700</v>
      </c>
      <c r="O37" s="57" t="s">
        <v>24</v>
      </c>
      <c r="P37" s="59">
        <f>SUM(P32:P36)</f>
        <v>950</v>
      </c>
      <c r="Q37" s="57" t="s">
        <v>24</v>
      </c>
      <c r="R37" s="59">
        <f>SUM(R32:R36)</f>
        <v>700</v>
      </c>
      <c r="S37" s="57" t="s">
        <v>24</v>
      </c>
      <c r="T37" s="59">
        <f>SUM(T32:T36)</f>
        <v>6400</v>
      </c>
      <c r="U37" s="57" t="s">
        <v>24</v>
      </c>
      <c r="V37" s="59">
        <f>SUM(V32:V36)</f>
        <v>1200</v>
      </c>
      <c r="W37" s="58"/>
      <c r="X37" s="74">
        <f>SUM(X32:X36)</f>
        <v>13000</v>
      </c>
    </row>
    <row r="38" spans="1:39" s="4" customFormat="1" ht="16.5" thickTop="1">
      <c r="A38" s="111"/>
      <c r="B38" s="48"/>
      <c r="C38" s="48"/>
      <c r="D38" s="49"/>
      <c r="E38" s="49"/>
      <c r="F38" s="47"/>
      <c r="G38" s="49"/>
      <c r="H38" s="47"/>
      <c r="I38" s="49"/>
      <c r="J38" s="69"/>
      <c r="K38" s="51"/>
      <c r="L38" s="69"/>
      <c r="M38" s="51"/>
      <c r="N38" s="69"/>
      <c r="O38" s="51"/>
      <c r="P38" s="69"/>
      <c r="Q38" s="51"/>
      <c r="R38" s="69"/>
      <c r="S38" s="51"/>
      <c r="T38" s="69"/>
      <c r="U38" s="51"/>
      <c r="V38" s="69"/>
      <c r="W38" s="50"/>
      <c r="X38" s="50"/>
      <c r="Y38" s="49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ht="15.75">
      <c r="A39" s="45" t="s">
        <v>67</v>
      </c>
      <c r="B39" s="5"/>
      <c r="C39" s="5"/>
    </row>
    <row r="40" spans="1:39">
      <c r="A40" s="44"/>
      <c r="B40" s="44"/>
      <c r="C40" s="44"/>
      <c r="D40" s="17"/>
      <c r="E40" s="17" t="s">
        <v>7</v>
      </c>
      <c r="F40" s="64">
        <v>1.1000000000000001</v>
      </c>
      <c r="G40" s="17" t="s">
        <v>7</v>
      </c>
      <c r="H40" s="64">
        <v>1.2</v>
      </c>
      <c r="I40" s="17" t="s">
        <v>7</v>
      </c>
      <c r="J40" s="64">
        <v>1.3</v>
      </c>
      <c r="K40" s="17" t="s">
        <v>7</v>
      </c>
      <c r="L40" s="64">
        <v>1.4</v>
      </c>
      <c r="M40" s="17" t="s">
        <v>7</v>
      </c>
      <c r="N40" s="64">
        <v>2.1</v>
      </c>
      <c r="O40" s="17" t="s">
        <v>7</v>
      </c>
      <c r="P40" s="70">
        <v>2.2000000000000002</v>
      </c>
      <c r="Q40" s="17" t="s">
        <v>7</v>
      </c>
      <c r="R40" s="64">
        <v>3.1</v>
      </c>
      <c r="S40" s="17" t="s">
        <v>25</v>
      </c>
      <c r="T40" s="64">
        <v>3.2</v>
      </c>
      <c r="U40" s="17" t="s">
        <v>7</v>
      </c>
      <c r="V40" s="64">
        <v>3.3</v>
      </c>
      <c r="W40" s="19" t="s">
        <v>20</v>
      </c>
      <c r="X40" s="20"/>
    </row>
    <row r="41" spans="1:39">
      <c r="A41" s="18" t="s">
        <v>12</v>
      </c>
      <c r="B41" s="18" t="s">
        <v>60</v>
      </c>
      <c r="C41" s="18" t="s">
        <v>48</v>
      </c>
      <c r="D41" s="25"/>
      <c r="E41" s="25" t="s">
        <v>59</v>
      </c>
      <c r="F41" s="65" t="s">
        <v>60</v>
      </c>
      <c r="G41" s="25" t="s">
        <v>59</v>
      </c>
      <c r="H41" s="65" t="s">
        <v>60</v>
      </c>
      <c r="I41" s="25" t="s">
        <v>59</v>
      </c>
      <c r="J41" s="65" t="s">
        <v>60</v>
      </c>
      <c r="K41" s="25" t="s">
        <v>59</v>
      </c>
      <c r="L41" s="65" t="s">
        <v>60</v>
      </c>
      <c r="M41" s="25" t="s">
        <v>59</v>
      </c>
      <c r="N41" s="65" t="s">
        <v>60</v>
      </c>
      <c r="O41" s="25" t="s">
        <v>59</v>
      </c>
      <c r="P41" s="71" t="s">
        <v>59</v>
      </c>
      <c r="Q41" s="25" t="s">
        <v>59</v>
      </c>
      <c r="R41" s="65" t="s">
        <v>60</v>
      </c>
      <c r="S41" s="25" t="s">
        <v>59</v>
      </c>
      <c r="T41" s="65" t="s">
        <v>60</v>
      </c>
      <c r="U41" s="25" t="s">
        <v>59</v>
      </c>
      <c r="V41" s="65" t="s">
        <v>60</v>
      </c>
      <c r="W41" s="26" t="s">
        <v>59</v>
      </c>
      <c r="X41" s="73" t="s">
        <v>60</v>
      </c>
    </row>
    <row r="42" spans="1:39" s="6" customFormat="1" ht="14.25">
      <c r="A42" s="109" t="s">
        <v>194</v>
      </c>
      <c r="B42" s="89">
        <v>20000</v>
      </c>
      <c r="C42" s="89">
        <v>0</v>
      </c>
      <c r="D42" s="54"/>
      <c r="E42" s="54">
        <v>10</v>
      </c>
      <c r="F42" s="68">
        <f>E42*$C42/100</f>
        <v>0</v>
      </c>
      <c r="G42" s="54">
        <v>10</v>
      </c>
      <c r="H42" s="68">
        <f>G42*$C42/100</f>
        <v>0</v>
      </c>
      <c r="I42" s="54">
        <v>0</v>
      </c>
      <c r="J42" s="68">
        <f>I42*$B42/100</f>
        <v>0</v>
      </c>
      <c r="K42" s="54">
        <v>50</v>
      </c>
      <c r="L42" s="68">
        <f>K42*$B42/100</f>
        <v>10000</v>
      </c>
      <c r="M42" s="54">
        <v>20</v>
      </c>
      <c r="N42" s="68">
        <f>M42*$C42/100</f>
        <v>0</v>
      </c>
      <c r="O42" s="54">
        <v>50</v>
      </c>
      <c r="P42" s="68">
        <f>O42*$B42/100</f>
        <v>10000</v>
      </c>
      <c r="Q42" s="54">
        <v>0</v>
      </c>
      <c r="R42" s="68">
        <f>Q42*$C42/100</f>
        <v>0</v>
      </c>
      <c r="S42" s="54">
        <v>0</v>
      </c>
      <c r="T42" s="68">
        <f>S42*$C42/100</f>
        <v>0</v>
      </c>
      <c r="U42" s="54">
        <v>0</v>
      </c>
      <c r="V42" s="68">
        <f>U42*$C42/100</f>
        <v>0</v>
      </c>
      <c r="W42" s="29">
        <f>SUM(E42+G42+I42+K42+M42+O42+Q42+S42+U42)</f>
        <v>140</v>
      </c>
      <c r="X42" s="67">
        <f>SUM(F42+H42+J42+L42+N42+P42+R42+T42+V42)</f>
        <v>20000</v>
      </c>
      <c r="Y42" s="13"/>
    </row>
    <row r="43" spans="1:39" ht="15.75" thickBot="1">
      <c r="A43" s="55" t="s">
        <v>20</v>
      </c>
      <c r="B43" s="61">
        <f>+B42</f>
        <v>20000</v>
      </c>
      <c r="C43" s="60"/>
      <c r="D43" s="57"/>
      <c r="E43" s="57"/>
      <c r="F43" s="59">
        <f>SUM(F42)</f>
        <v>0</v>
      </c>
      <c r="G43" s="57" t="s">
        <v>24</v>
      </c>
      <c r="H43" s="59">
        <f>SUM(H42)</f>
        <v>0</v>
      </c>
      <c r="I43" s="57" t="s">
        <v>24</v>
      </c>
      <c r="J43" s="59">
        <f>SUM(J42)</f>
        <v>0</v>
      </c>
      <c r="K43" s="57" t="s">
        <v>24</v>
      </c>
      <c r="L43" s="59">
        <f>SUM(L42)</f>
        <v>10000</v>
      </c>
      <c r="M43" s="57" t="s">
        <v>24</v>
      </c>
      <c r="N43" s="59">
        <f>SUM(N42)</f>
        <v>0</v>
      </c>
      <c r="O43" s="57" t="s">
        <v>24</v>
      </c>
      <c r="P43" s="59">
        <f>SUM(P42)</f>
        <v>10000</v>
      </c>
      <c r="Q43" s="57" t="s">
        <v>24</v>
      </c>
      <c r="R43" s="59">
        <f>SUM(R42)</f>
        <v>0</v>
      </c>
      <c r="S43" s="57" t="s">
        <v>24</v>
      </c>
      <c r="T43" s="59">
        <f>SUM(T42)</f>
        <v>0</v>
      </c>
      <c r="U43" s="57" t="s">
        <v>24</v>
      </c>
      <c r="V43" s="59">
        <f>SUM(V42)</f>
        <v>0</v>
      </c>
      <c r="W43" s="58"/>
      <c r="X43" s="74">
        <f>SUM(X42)</f>
        <v>20000</v>
      </c>
    </row>
    <row r="44" spans="1:39" ht="15.75" thickTop="1"/>
    <row r="46" spans="1:39">
      <c r="B46" s="36">
        <f>+D12+B20+B27+B37+B43</f>
        <v>131490.75102</v>
      </c>
      <c r="X46" s="32">
        <f>+X12+X20+X27+X37+X43</f>
        <v>131490.75102</v>
      </c>
    </row>
    <row r="47" spans="1:39">
      <c r="B47" s="36"/>
      <c r="C47" s="36"/>
    </row>
    <row r="49" spans="2:2">
      <c r="B49" s="36"/>
    </row>
  </sheetData>
  <phoneticPr fontId="2" type="noConversion"/>
  <pageMargins left="0.7" right="0.7" top="0.75" bottom="0.75" header="0.3" footer="0.3"/>
  <pageSetup paperSize="0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"/>
  <sheetViews>
    <sheetView view="pageLayout" zoomScaleNormal="100" workbookViewId="0">
      <selection activeCell="B5" sqref="B5"/>
    </sheetView>
  </sheetViews>
  <sheetFormatPr defaultColWidth="8.85546875" defaultRowHeight="15"/>
  <cols>
    <col min="1" max="1" width="2.855468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15" width="8.85546875" style="6"/>
  </cols>
  <sheetData>
    <row r="1" spans="2:15" s="76" customFormat="1">
      <c r="B1" s="224" t="s">
        <v>46</v>
      </c>
      <c r="C1" s="224"/>
      <c r="D1" s="224"/>
      <c r="E1" s="224"/>
      <c r="F1" s="77"/>
      <c r="G1" s="77"/>
      <c r="H1" s="77"/>
      <c r="I1" s="77"/>
      <c r="J1" s="13"/>
      <c r="K1" s="13"/>
      <c r="L1" s="13"/>
      <c r="M1" s="13"/>
      <c r="N1" s="13"/>
      <c r="O1" s="13"/>
    </row>
    <row r="2" spans="2:15">
      <c r="B2" s="2"/>
      <c r="C2" s="3"/>
      <c r="D2" s="3"/>
      <c r="E2" s="3"/>
      <c r="F2" s="3"/>
      <c r="G2" s="3"/>
      <c r="H2" s="3"/>
      <c r="I2" s="3"/>
    </row>
    <row r="3" spans="2:15">
      <c r="B3" s="78"/>
      <c r="C3" s="79"/>
      <c r="D3" s="79"/>
      <c r="E3" s="79"/>
      <c r="F3" s="79"/>
      <c r="G3" s="79"/>
      <c r="H3" s="79" t="s">
        <v>61</v>
      </c>
      <c r="I3" s="80" t="s">
        <v>62</v>
      </c>
    </row>
    <row r="4" spans="2:15">
      <c r="B4" s="81" t="s">
        <v>47</v>
      </c>
      <c r="C4" s="82" t="s">
        <v>63</v>
      </c>
      <c r="D4" s="82" t="s">
        <v>64</v>
      </c>
      <c r="E4" s="82" t="s">
        <v>65</v>
      </c>
      <c r="F4" s="82" t="s">
        <v>66</v>
      </c>
      <c r="G4" s="82" t="s">
        <v>75</v>
      </c>
      <c r="H4" s="82" t="s">
        <v>20</v>
      </c>
      <c r="I4" s="83" t="s">
        <v>76</v>
      </c>
    </row>
    <row r="5" spans="2:15">
      <c r="B5" s="84">
        <f>'5.Budget_Items'!F2</f>
        <v>1.1000000000000001</v>
      </c>
      <c r="C5" s="112">
        <f>SUM('5.Budget_Items'!F12)</f>
        <v>10162.951169999997</v>
      </c>
      <c r="D5" s="112">
        <f>SUM('5.Budget_Items'!F20)</f>
        <v>0</v>
      </c>
      <c r="E5" s="112">
        <f>SUM('5.Budget_Items'!F27)</f>
        <v>0</v>
      </c>
      <c r="F5" s="112">
        <f>SUM('5.Budget_Items'!F37)</f>
        <v>700</v>
      </c>
      <c r="G5" s="112">
        <f>SUM('5.Budget_Items'!F43)</f>
        <v>0</v>
      </c>
      <c r="H5" s="113">
        <f>SUM(C5:G5)</f>
        <v>10862.951169999997</v>
      </c>
      <c r="I5" s="85">
        <f>SUM(H5/H14)</f>
        <v>8.2613804284589726E-2</v>
      </c>
    </row>
    <row r="6" spans="2:15">
      <c r="B6" s="84">
        <f>'5.Budget_Items'!H2</f>
        <v>1.2</v>
      </c>
      <c r="C6" s="114">
        <f>SUM('5.Budget_Items'!H12)</f>
        <v>10162.951169999997</v>
      </c>
      <c r="D6" s="114">
        <f>SUM('5.Budget_Items'!H20)</f>
        <v>0</v>
      </c>
      <c r="E6" s="114">
        <f>SUM('5.Budget_Items'!H27)</f>
        <v>0</v>
      </c>
      <c r="F6" s="114">
        <f>SUM('5.Budget_Items'!H37)</f>
        <v>700</v>
      </c>
      <c r="G6" s="114">
        <f>SUM('5.Budget_Items'!H43)</f>
        <v>0</v>
      </c>
      <c r="H6" s="115">
        <f t="shared" ref="H6:H13" si="0">SUM(C6:G6)</f>
        <v>10862.951169999997</v>
      </c>
      <c r="I6" s="85">
        <f>SUM(H6/H14)</f>
        <v>8.2613804284589726E-2</v>
      </c>
    </row>
    <row r="7" spans="2:15">
      <c r="B7" s="84">
        <f>'5.Budget_Items'!J2</f>
        <v>1.3</v>
      </c>
      <c r="C7" s="114">
        <f>SUM('5.Budget_Items'!J12)</f>
        <v>16531.059551000002</v>
      </c>
      <c r="D7" s="114">
        <f>SUM('5.Budget_Items'!J20)</f>
        <v>0</v>
      </c>
      <c r="E7" s="114">
        <f>SUM('5.Budget_Items'!J27)</f>
        <v>0</v>
      </c>
      <c r="F7" s="114">
        <f>SUM('5.Budget_Items'!J37)</f>
        <v>950</v>
      </c>
      <c r="G7" s="114">
        <f>SUM('5.Budget_Items'!J43)</f>
        <v>0</v>
      </c>
      <c r="H7" s="115">
        <f t="shared" si="0"/>
        <v>17481.059551000002</v>
      </c>
      <c r="I7" s="85">
        <f>SUM(H7/H14)</f>
        <v>0.13294516470090811</v>
      </c>
    </row>
    <row r="8" spans="2:15">
      <c r="B8" s="84">
        <f>'5.Budget_Items'!L2</f>
        <v>1.4</v>
      </c>
      <c r="C8" s="114">
        <f>SUM('5.Budget_Items'!L12)</f>
        <v>11209.736585000001</v>
      </c>
      <c r="D8" s="114">
        <f>SUM('5.Budget_Items'!L20)</f>
        <v>0</v>
      </c>
      <c r="E8" s="114">
        <f>SUM('5.Budget_Items'!L27)</f>
        <v>0</v>
      </c>
      <c r="F8" s="114">
        <f>SUM('5.Budget_Items'!L37)</f>
        <v>700</v>
      </c>
      <c r="G8" s="114">
        <f>SUM('5.Budget_Items'!L43)</f>
        <v>10000</v>
      </c>
      <c r="H8" s="115">
        <f t="shared" si="0"/>
        <v>21909.736584999999</v>
      </c>
      <c r="I8" s="85">
        <f>SUM(H8/H14)</f>
        <v>0.16662568595161104</v>
      </c>
    </row>
    <row r="9" spans="2:15">
      <c r="B9" s="84">
        <f>'5.Budget_Items'!N2</f>
        <v>2.1</v>
      </c>
      <c r="C9" s="114">
        <f>SUM('5.Budget_Items'!N12)</f>
        <v>15484.274136</v>
      </c>
      <c r="D9" s="114">
        <f>SUM('5.Budget_Items'!N20)</f>
        <v>4000</v>
      </c>
      <c r="E9" s="114">
        <f>SUM('5.Budget_Items'!N27)</f>
        <v>0</v>
      </c>
      <c r="F9" s="114">
        <f>SUM('5.Budget_Items'!N37)</f>
        <v>700</v>
      </c>
      <c r="G9" s="114">
        <f>SUM('5.Budget_Items'!N43)</f>
        <v>0</v>
      </c>
      <c r="H9" s="115">
        <f t="shared" si="0"/>
        <v>20184.274136</v>
      </c>
      <c r="I9" s="85">
        <f>SUM(H9/H14)</f>
        <v>0.15350337555627722</v>
      </c>
    </row>
    <row r="10" spans="2:15">
      <c r="B10" s="84">
        <f>'5.Budget_Items'!P2</f>
        <v>2.2000000000000002</v>
      </c>
      <c r="C10" s="114">
        <f>SUM('5.Budget_Items'!P12)</f>
        <v>11776.827237999998</v>
      </c>
      <c r="D10" s="114">
        <f>SUM('5.Budget_Items'!P20)</f>
        <v>4000</v>
      </c>
      <c r="E10" s="114">
        <f>SUM('5.Budget_Items'!P27)</f>
        <v>0</v>
      </c>
      <c r="F10" s="114">
        <f>SUM('5.Budget_Items'!P37)</f>
        <v>950</v>
      </c>
      <c r="G10" s="114">
        <f>SUM('5.Budget_Items'!P43)</f>
        <v>10000</v>
      </c>
      <c r="H10" s="115">
        <f t="shared" si="0"/>
        <v>26726.827237999998</v>
      </c>
      <c r="I10" s="85">
        <f>SUM(H10/H14)</f>
        <v>0.20326013069873483</v>
      </c>
    </row>
    <row r="11" spans="2:15">
      <c r="B11" s="84">
        <f>'5.Budget_Items'!R2</f>
        <v>3.1</v>
      </c>
      <c r="C11" s="114">
        <f>SUM('5.Budget_Items'!R12)</f>
        <v>4274.5375510000003</v>
      </c>
      <c r="D11" s="114">
        <f>SUM('5.Budget_Items'!R20)</f>
        <v>2500</v>
      </c>
      <c r="E11" s="114">
        <f>SUM('5.Budget_Items'!R27)</f>
        <v>0</v>
      </c>
      <c r="F11" s="114">
        <f>SUM('5.Budget_Items'!R37)</f>
        <v>700</v>
      </c>
      <c r="G11" s="114">
        <f>SUM('5.Budget_Items'!R43)</f>
        <v>0</v>
      </c>
      <c r="H11" s="115">
        <f t="shared" si="0"/>
        <v>7474.5375510000003</v>
      </c>
      <c r="I11" s="85">
        <f>SUM(H11/H14)</f>
        <v>5.6844587874192831E-2</v>
      </c>
    </row>
    <row r="12" spans="2:15">
      <c r="B12" s="84">
        <f>'5.Budget_Items'!T2</f>
        <v>3.2</v>
      </c>
      <c r="C12" s="114">
        <f>SUM('5.Budget_Items'!T12)</f>
        <v>4274.5375510000003</v>
      </c>
      <c r="D12" s="114">
        <f>SUM('5.Budget_Items'!T20)</f>
        <v>0</v>
      </c>
      <c r="E12" s="114">
        <f>SUM('5.Budget_Items'!T27)</f>
        <v>0</v>
      </c>
      <c r="F12" s="114">
        <f>SUM('5.Budget_Items'!T37)</f>
        <v>6400</v>
      </c>
      <c r="G12" s="114">
        <f>SUM('5.Budget_Items'!T43)</f>
        <v>0</v>
      </c>
      <c r="H12" s="115">
        <f t="shared" si="0"/>
        <v>10674.537551000001</v>
      </c>
      <c r="I12" s="85">
        <f>SUM(H12/H14)</f>
        <v>8.1180900315767329E-2</v>
      </c>
    </row>
    <row r="13" spans="2:15">
      <c r="B13" s="86">
        <f>'5.Budget_Items'!V2</f>
        <v>3.3</v>
      </c>
      <c r="C13" s="114">
        <f>SUM('5.Budget_Items'!V12)</f>
        <v>1613.876068</v>
      </c>
      <c r="D13" s="114">
        <f>SUM('5.Budget_Items'!V20)</f>
        <v>2500</v>
      </c>
      <c r="E13" s="114">
        <f>SUM('5.Budget_Items'!V27)</f>
        <v>0</v>
      </c>
      <c r="F13" s="114">
        <f>SUM('5.Budget_Items'!V37)</f>
        <v>1200</v>
      </c>
      <c r="G13" s="114">
        <f>SUM('5.Budget_Items'!V43)</f>
        <v>0</v>
      </c>
      <c r="H13" s="115">
        <f t="shared" si="0"/>
        <v>5313.8760679999996</v>
      </c>
      <c r="I13" s="85">
        <f>SUM(H13/H14)</f>
        <v>4.041254633332917E-2</v>
      </c>
    </row>
    <row r="14" spans="2:15">
      <c r="B14" s="87" t="s">
        <v>61</v>
      </c>
      <c r="C14" s="112">
        <f>SUM(C5:C13)</f>
        <v>85490.751019999996</v>
      </c>
      <c r="D14" s="112">
        <f>SUM(D1:D13)</f>
        <v>13000</v>
      </c>
      <c r="E14" s="112">
        <f>SUM(E5:E13)</f>
        <v>0</v>
      </c>
      <c r="F14" s="112">
        <f>SUM(F5:F13)</f>
        <v>13000</v>
      </c>
      <c r="G14" s="112">
        <f>SUM(G1:G13)</f>
        <v>20000</v>
      </c>
      <c r="H14" s="113">
        <f>SUM(H5:H13)</f>
        <v>131490.75102</v>
      </c>
      <c r="I14" s="85">
        <f>SUM(I5:I13)</f>
        <v>1</v>
      </c>
    </row>
  </sheetData>
  <mergeCells count="1">
    <mergeCell ref="B1:E1"/>
  </mergeCells>
  <phoneticPr fontId="2" type="noConversion"/>
  <pageMargins left="0.7" right="0.7" top="0.75" bottom="0.75" header="0.3" footer="0.3"/>
  <pageSetup orientation="landscape" horizontalDpi="4294967292" verticalDpi="4294967292" r:id="rId1"/>
  <headerFooter alignWithMargins="0">
    <oddHeader>&amp;LOffice of Admissions and Records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85546875" defaultRowHeight="15"/>
  <sheetData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5" sqref="F25"/>
    </sheetView>
  </sheetViews>
  <sheetFormatPr defaultRowHeight="15"/>
  <cols>
    <col min="3" max="3" width="10.140625" bestFit="1" customWidth="1"/>
    <col min="4" max="4" width="32" bestFit="1" customWidth="1"/>
    <col min="6" max="6" width="12.5703125" bestFit="1" customWidth="1"/>
  </cols>
  <sheetData>
    <row r="1" spans="1:6">
      <c r="A1" t="s">
        <v>92</v>
      </c>
    </row>
    <row r="2" spans="1:6">
      <c r="A2" t="s">
        <v>168</v>
      </c>
    </row>
    <row r="3" spans="1:6">
      <c r="A3" t="s">
        <v>195</v>
      </c>
    </row>
    <row r="5" spans="1:6">
      <c r="C5" t="s">
        <v>93</v>
      </c>
      <c r="D5" t="s">
        <v>94</v>
      </c>
      <c r="F5">
        <v>2024</v>
      </c>
    </row>
    <row r="6" spans="1:6">
      <c r="D6" t="s">
        <v>36</v>
      </c>
      <c r="F6" s="117">
        <f>'5.Budget_Items'!C12</f>
        <v>67387.423076923078</v>
      </c>
    </row>
    <row r="7" spans="1:6">
      <c r="D7" t="s">
        <v>95</v>
      </c>
      <c r="F7" s="117">
        <f>'4.Fringe_Benefits'!B10</f>
        <v>5054.0567307692309</v>
      </c>
    </row>
    <row r="8" spans="1:6">
      <c r="D8" t="s">
        <v>96</v>
      </c>
      <c r="F8" s="117">
        <f>'4.Fringe_Benefits'!E10</f>
        <v>3369.3599999999997</v>
      </c>
    </row>
    <row r="9" spans="1:6">
      <c r="D9" t="s">
        <v>97</v>
      </c>
      <c r="F9" s="117">
        <f>'4.Fringe_Benefits'!F10</f>
        <v>973.08852000000013</v>
      </c>
    </row>
    <row r="10" spans="1:6">
      <c r="D10" t="s">
        <v>16</v>
      </c>
      <c r="F10" s="117">
        <f>'4.Fringe_Benefits'!C10</f>
        <v>1506.8226923076923</v>
      </c>
    </row>
    <row r="11" spans="1:6">
      <c r="D11" t="s">
        <v>17</v>
      </c>
      <c r="F11" s="117">
        <f>'4.Fringe_Benefits'!D10</f>
        <v>7200</v>
      </c>
    </row>
    <row r="12" spans="1:6">
      <c r="F12" s="117"/>
    </row>
    <row r="13" spans="1:6">
      <c r="D13" t="s">
        <v>6</v>
      </c>
      <c r="F13" s="117">
        <f>+'5.Budget_Items'!B19</f>
        <v>5000</v>
      </c>
    </row>
    <row r="14" spans="1:6">
      <c r="D14" t="s">
        <v>121</v>
      </c>
      <c r="F14" s="117">
        <f>+'5.Budget_Items'!B17+'5.Budget_Items'!B18</f>
        <v>8000</v>
      </c>
    </row>
    <row r="15" spans="1:6">
      <c r="F15" s="117"/>
    </row>
    <row r="16" spans="1:6">
      <c r="D16" s="6" t="s">
        <v>77</v>
      </c>
      <c r="F16" s="117">
        <f>'5.Budget_Items'!B32</f>
        <v>500</v>
      </c>
    </row>
    <row r="17" spans="4:8">
      <c r="D17" s="6" t="s">
        <v>78</v>
      </c>
      <c r="F17" s="117">
        <f>'5.Budget_Items'!B33</f>
        <v>0</v>
      </c>
    </row>
    <row r="18" spans="4:8">
      <c r="D18" s="6" t="s">
        <v>79</v>
      </c>
      <c r="F18" s="117">
        <f>'5.Budget_Items'!B34</f>
        <v>7000</v>
      </c>
    </row>
    <row r="19" spans="4:8">
      <c r="D19" s="6" t="s">
        <v>91</v>
      </c>
      <c r="F19" s="117">
        <f>'5.Budget_Items'!B35</f>
        <v>500</v>
      </c>
    </row>
    <row r="20" spans="4:8">
      <c r="D20" s="6" t="s">
        <v>163</v>
      </c>
      <c r="F20" s="117">
        <f>'5.Budget_Items'!B36</f>
        <v>5000</v>
      </c>
    </row>
    <row r="21" spans="4:8">
      <c r="F21" s="117"/>
    </row>
    <row r="22" spans="4:8" ht="29.25">
      <c r="D22" s="109" t="s">
        <v>167</v>
      </c>
      <c r="F22" s="117">
        <f>+'5.Budget_Items'!B42</f>
        <v>20000</v>
      </c>
    </row>
    <row r="23" spans="4:8">
      <c r="F23" s="117">
        <f>SUM(F6:F22)</f>
        <v>131490.75102</v>
      </c>
    </row>
    <row r="24" spans="4:8">
      <c r="F24" s="116">
        <f>+F23-'5.Budget_Items'!B46</f>
        <v>0</v>
      </c>
      <c r="H24" s="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1.Directions</vt:lpstr>
      <vt:lpstr>2.Performance_Items</vt:lpstr>
      <vt:lpstr>rev_exp</vt:lpstr>
      <vt:lpstr>3.Pay Level</vt:lpstr>
      <vt:lpstr>4.Fringe_Benefits</vt:lpstr>
      <vt:lpstr>5.Budget_Items</vt:lpstr>
      <vt:lpstr>Activity Cost</vt:lpstr>
      <vt:lpstr>Pay Levels</vt:lpstr>
      <vt:lpstr>line item</vt:lpstr>
      <vt:lpstr>Summary</vt:lpstr>
      <vt:lpstr>'2.Performance_Items'!Print_Area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Roselle</cp:lastModifiedBy>
  <cp:lastPrinted>2015-10-25T23:38:54Z</cp:lastPrinted>
  <dcterms:created xsi:type="dcterms:W3CDTF">2010-04-21T01:18:24Z</dcterms:created>
  <dcterms:modified xsi:type="dcterms:W3CDTF">2022-10-29T04:26:44Z</dcterms:modified>
  <cp:category>Budget</cp:category>
  <cp:contentStatus>New</cp:contentStatus>
</cp:coreProperties>
</file>